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sanchez/Desktop/"/>
    </mc:Choice>
  </mc:AlternateContent>
  <xr:revisionPtr revIDLastSave="0" documentId="13_ncr:1_{9C37BBC8-AE3B-744E-9F7E-9FA0E8303FBE}" xr6:coauthVersionLast="45" xr6:coauthVersionMax="45" xr10:uidLastSave="{00000000-0000-0000-0000-000000000000}"/>
  <bookViews>
    <workbookView xWindow="200" yWindow="460" windowWidth="28600" windowHeight="17280" xr2:uid="{25D0BD1D-4CB0-6D46-8438-9F2D182AC120}"/>
  </bookViews>
  <sheets>
    <sheet name="Calculator" sheetId="4" r:id="rId1"/>
    <sheet name="Annual Cost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4" l="1"/>
  <c r="E18" i="4"/>
  <c r="H18" i="4" s="1"/>
  <c r="E17" i="4"/>
  <c r="E16" i="4"/>
  <c r="H16" i="4" s="1"/>
  <c r="E15" i="4"/>
  <c r="H15" i="4" s="1"/>
  <c r="E14" i="4"/>
  <c r="H14" i="4" s="1"/>
  <c r="E13" i="4"/>
  <c r="E12" i="4"/>
  <c r="E11" i="4"/>
  <c r="H11" i="4" s="1"/>
  <c r="E10" i="4"/>
  <c r="D19" i="4"/>
  <c r="D18" i="4"/>
  <c r="D17" i="4"/>
  <c r="D16" i="4"/>
  <c r="D15" i="4"/>
  <c r="D14" i="4"/>
  <c r="D13" i="4"/>
  <c r="D12" i="4"/>
  <c r="D11" i="4"/>
  <c r="D10" i="4"/>
  <c r="C14" i="4"/>
  <c r="F14" i="4" l="1"/>
  <c r="G14" i="4" s="1"/>
  <c r="I14" i="4" s="1"/>
  <c r="C15" i="4"/>
  <c r="F15" i="4" s="1"/>
  <c r="C19" i="4"/>
  <c r="F19" i="4" s="1"/>
  <c r="C18" i="4"/>
  <c r="F18" i="4" s="1"/>
  <c r="C17" i="4"/>
  <c r="F17" i="4" s="1"/>
  <c r="C16" i="4"/>
  <c r="F16" i="4" s="1"/>
  <c r="C13" i="4"/>
  <c r="F13" i="4" s="1"/>
  <c r="C12" i="4"/>
  <c r="F12" i="4" s="1"/>
  <c r="C11" i="4"/>
  <c r="F11" i="4" s="1"/>
  <c r="C10" i="4"/>
  <c r="F10" i="4" l="1"/>
  <c r="G10" i="4" s="1"/>
  <c r="G19" i="4"/>
  <c r="I19" i="4" s="1"/>
  <c r="G15" i="4"/>
  <c r="I15" i="4" s="1"/>
  <c r="G11" i="4"/>
  <c r="I11" i="4" s="1"/>
  <c r="G12" i="4"/>
  <c r="I12" i="4" s="1"/>
  <c r="G13" i="4"/>
  <c r="I13" i="4" s="1"/>
  <c r="G16" i="4"/>
  <c r="I16" i="4" s="1"/>
  <c r="G17" i="4"/>
  <c r="G18" i="4"/>
  <c r="I18" i="4" s="1"/>
  <c r="E20" i="4"/>
  <c r="D20" i="4"/>
  <c r="C20" i="4"/>
  <c r="K5" i="3"/>
  <c r="L5" i="3" s="1"/>
  <c r="K6" i="3"/>
  <c r="K7" i="3"/>
  <c r="L7" i="3" s="1"/>
  <c r="K8" i="3"/>
  <c r="K9" i="3"/>
  <c r="K10" i="3"/>
  <c r="L10" i="3" s="1"/>
  <c r="K11" i="3"/>
  <c r="K12" i="3"/>
  <c r="K13" i="3"/>
  <c r="K4" i="3"/>
  <c r="L4" i="3" s="1"/>
  <c r="L6" i="3"/>
  <c r="L8" i="3"/>
  <c r="L9" i="3"/>
  <c r="H17" i="4" l="1"/>
  <c r="I17" i="4" s="1"/>
  <c r="H10" i="4"/>
  <c r="G20" i="4"/>
  <c r="F20" i="4"/>
  <c r="L14" i="3"/>
  <c r="L26" i="3"/>
  <c r="L18" i="3"/>
  <c r="L19" i="3"/>
  <c r="L20" i="3"/>
  <c r="L21" i="3"/>
  <c r="L22" i="3"/>
  <c r="L23" i="3"/>
  <c r="L24" i="3"/>
  <c r="L25" i="3"/>
  <c r="L17" i="3"/>
  <c r="H20" i="4" l="1"/>
  <c r="I10" i="4"/>
  <c r="I20" i="4" s="1"/>
  <c r="J11" i="3"/>
  <c r="J12" i="3"/>
  <c r="J5" i="3"/>
  <c r="J6" i="3"/>
  <c r="J7" i="3"/>
  <c r="J8" i="3"/>
  <c r="J9" i="3"/>
  <c r="J10" i="3"/>
  <c r="J4" i="3"/>
  <c r="D14" i="3"/>
  <c r="E14" i="3"/>
  <c r="F14" i="3"/>
  <c r="G14" i="3"/>
  <c r="H14" i="3"/>
  <c r="C14" i="3"/>
  <c r="J14" i="3" l="1"/>
  <c r="K14" i="3"/>
</calcChain>
</file>

<file path=xl/sharedStrings.xml><?xml version="1.0" encoding="utf-8"?>
<sst xmlns="http://schemas.openxmlformats.org/spreadsheetml/2006/main" count="150" uniqueCount="75">
  <si>
    <t>Tuition</t>
  </si>
  <si>
    <t>Fees</t>
  </si>
  <si>
    <t>Books</t>
  </si>
  <si>
    <t>Kit/Supplies</t>
  </si>
  <si>
    <t>Room and Board</t>
  </si>
  <si>
    <t>Personal Expense</t>
  </si>
  <si>
    <t>Transportation</t>
  </si>
  <si>
    <t>On Campus</t>
  </si>
  <si>
    <t>Off Campus</t>
  </si>
  <si>
    <t>Standard Board</t>
  </si>
  <si>
    <t>Indonesia</t>
  </si>
  <si>
    <t>Nepal</t>
  </si>
  <si>
    <t>France</t>
  </si>
  <si>
    <t>Thailand</t>
  </si>
  <si>
    <t>Kenya</t>
  </si>
  <si>
    <t>Slovenia</t>
  </si>
  <si>
    <t>Ghana</t>
  </si>
  <si>
    <t>Hungary</t>
  </si>
  <si>
    <t>Georgia</t>
  </si>
  <si>
    <t>Average</t>
  </si>
  <si>
    <t>LEAD Venture</t>
  </si>
  <si>
    <t>Total</t>
  </si>
  <si>
    <t>Setup Costs</t>
  </si>
  <si>
    <t>Senior Fees</t>
  </si>
  <si>
    <t>AA Soph. Year</t>
  </si>
  <si>
    <t>BA/AA/Certificate Programs Freshman &amp; Sophomore Years</t>
  </si>
  <si>
    <t>LEAD Venture w/Summer Intensive</t>
  </si>
  <si>
    <t>BA Junior &amp; Senior Years</t>
  </si>
  <si>
    <t>Bethany Global University Annual Costs</t>
  </si>
  <si>
    <t>Gluten Free or Dairy Free</t>
  </si>
  <si>
    <t>Avg. Junior Year   Global Internship</t>
  </si>
  <si>
    <t>Language Tutor</t>
  </si>
  <si>
    <t>Retreat</t>
  </si>
  <si>
    <t>Language School</t>
  </si>
  <si>
    <t>Medical Travel Insurance</t>
  </si>
  <si>
    <t>Global Internship Annual Site Costs</t>
  </si>
  <si>
    <t>Senior Fall Sem. Global Internship</t>
  </si>
  <si>
    <t>Senior Spring Sem. On Campus*</t>
  </si>
  <si>
    <t>Freshman</t>
  </si>
  <si>
    <t>Total Cost</t>
  </si>
  <si>
    <t>Covered by Tuition-Paid or Fundraising</t>
  </si>
  <si>
    <t>Total Cost Out of Pocket</t>
  </si>
  <si>
    <t>Projected Costs Calculator</t>
  </si>
  <si>
    <t>Board Option</t>
  </si>
  <si>
    <t>Residence</t>
  </si>
  <si>
    <t>BA</t>
  </si>
  <si>
    <t>AA</t>
  </si>
  <si>
    <t>Lead Venture</t>
  </si>
  <si>
    <t>Lead Venture w/ Summer Intensive</t>
  </si>
  <si>
    <t>Global Internship Location</t>
  </si>
  <si>
    <t>Freshman Program</t>
  </si>
  <si>
    <t>Sophomore Program</t>
  </si>
  <si>
    <t>Gluten Free / Dairy Free</t>
  </si>
  <si>
    <t>Other</t>
  </si>
  <si>
    <t>BGU Cost Calculator</t>
  </si>
  <si>
    <t>Select From the Following Options</t>
  </si>
  <si>
    <t>Sophomore*</t>
  </si>
  <si>
    <t>Junior *</t>
  </si>
  <si>
    <t xml:space="preserve">Senior* </t>
  </si>
  <si>
    <t xml:space="preserve">Program: </t>
  </si>
  <si>
    <t xml:space="preserve">Board (Food) Option: </t>
  </si>
  <si>
    <t xml:space="preserve">Residence: </t>
  </si>
  <si>
    <t xml:space="preserve">Internship Location: </t>
  </si>
  <si>
    <t>Other 1***</t>
  </si>
  <si>
    <t>Other 2***</t>
  </si>
  <si>
    <t>Other 3***</t>
  </si>
  <si>
    <t>Personal Expense**</t>
  </si>
  <si>
    <t>Transportation**</t>
  </si>
  <si>
    <t>Important Notes:</t>
  </si>
  <si>
    <r>
      <rPr>
        <b/>
        <sz val="12"/>
        <color theme="1"/>
        <rFont val="Calibri"/>
        <family val="2"/>
        <scheme val="minor"/>
      </rPr>
      <t>*Senior Spring Semester</t>
    </r>
    <r>
      <rPr>
        <sz val="12"/>
        <color theme="1"/>
        <rFont val="Calibri"/>
        <family val="2"/>
        <scheme val="minor"/>
      </rPr>
      <t xml:space="preserve"> on campus assumes standard board and that the student is staying on campus.</t>
    </r>
  </si>
  <si>
    <r>
      <rPr>
        <b/>
        <sz val="12"/>
        <color theme="1"/>
        <rFont val="Calibri"/>
        <family val="2"/>
        <scheme val="minor"/>
      </rPr>
      <t>***Other</t>
    </r>
    <r>
      <rPr>
        <sz val="12"/>
        <color theme="1"/>
        <rFont val="Calibri"/>
        <family val="2"/>
        <scheme val="minor"/>
      </rPr>
      <t xml:space="preserve"> includes miscellaneous costs that differ between grades and/or programs. A full breakdown can be found on the "Annual Costs" tab below.</t>
    </r>
  </si>
  <si>
    <r>
      <rPr>
        <b/>
        <sz val="12"/>
        <color theme="1"/>
        <rFont val="Calibri"/>
        <family val="2"/>
        <scheme val="minor"/>
      </rPr>
      <t>Fundraising:</t>
    </r>
    <r>
      <rPr>
        <sz val="12"/>
        <color theme="1"/>
        <rFont val="Calibri"/>
        <family val="2"/>
        <scheme val="minor"/>
      </rPr>
      <t xml:space="preserve"> All BA students raise funds for their Global Internship costs through our Partnership Development program. This method of fundraising has had an outstanding track record and saw that 97% of students who started the process in 2019 get fully funded for their Global Internship. Some students have used loans to become fully funded.</t>
    </r>
  </si>
  <si>
    <r>
      <rPr>
        <b/>
        <sz val="12"/>
        <color theme="1"/>
        <rFont val="Calibri"/>
        <family val="2"/>
        <scheme val="minor"/>
      </rPr>
      <t>*Sophomore, Junior, and Senior</t>
    </r>
    <r>
      <rPr>
        <sz val="12"/>
        <color theme="1"/>
        <rFont val="Calibri"/>
        <family val="2"/>
        <scheme val="minor"/>
      </rPr>
      <t xml:space="preserve"> year costs are what curreent students in those grades are paying this current school year. Costs are not locked for future years, but the cost does give a reasonable idea of future costs.</t>
    </r>
  </si>
  <si>
    <r>
      <rPr>
        <b/>
        <sz val="12"/>
        <color theme="1"/>
        <rFont val="Calibri"/>
        <family val="2"/>
        <scheme val="minor"/>
      </rPr>
      <t>**Personal Expense and Transportation</t>
    </r>
    <r>
      <rPr>
        <sz val="12"/>
        <color theme="1"/>
        <rFont val="Calibri"/>
        <family val="2"/>
        <scheme val="minor"/>
      </rPr>
      <t xml:space="preserve"> are not required costs of Bethany Global University and are simply estimates of what students may need to spend during their time in the program.</t>
    </r>
  </si>
  <si>
    <r>
      <rPr>
        <b/>
        <sz val="12"/>
        <color theme="1"/>
        <rFont val="Calibri"/>
        <family val="2"/>
        <scheme val="minor"/>
      </rPr>
      <t>Tuition-Paid:</t>
    </r>
    <r>
      <rPr>
        <sz val="12"/>
        <color theme="1"/>
        <rFont val="Calibri"/>
        <family val="2"/>
        <scheme val="minor"/>
      </rPr>
      <t xml:space="preserve"> is a financial program that applies to most students who meet the criteria. You can learn more about how this program works and the qualifications at https://bethanygu.edu/admissions/undergraduate/tuition-fees/.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</si>
</sst>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2D2A2A"/>
      <name val="Calibri"/>
      <family val="2"/>
      <scheme val="minor"/>
    </font>
    <font>
      <sz val="12"/>
      <color rgb="FF2F2D2D"/>
      <name val="Calibri"/>
      <family val="2"/>
      <scheme val="minor"/>
    </font>
    <font>
      <sz val="12"/>
      <color rgb="FF2F2B2B"/>
      <name val="Calibri"/>
      <family val="2"/>
      <scheme val="minor"/>
    </font>
    <font>
      <sz val="12"/>
      <color rgb="FF312D2D"/>
      <name val="Calibri"/>
      <family val="2"/>
      <scheme val="minor"/>
    </font>
    <font>
      <sz val="12"/>
      <color rgb="FF2F2B2D"/>
      <name val="Calibri"/>
      <family val="2"/>
      <scheme val="minor"/>
    </font>
    <font>
      <sz val="12"/>
      <color rgb="FF161616"/>
      <name val="Calibri"/>
      <family val="2"/>
      <scheme val="minor"/>
    </font>
    <font>
      <sz val="12"/>
      <color rgb="FF161618"/>
      <name val="Calibri"/>
      <family val="2"/>
      <scheme val="minor"/>
    </font>
    <font>
      <sz val="12"/>
      <name val="Calibri"/>
      <family val="2"/>
      <scheme val="minor"/>
    </font>
    <font>
      <sz val="12"/>
      <color rgb="FF181618"/>
      <name val="Calibri"/>
      <family val="2"/>
      <scheme val="minor"/>
    </font>
    <font>
      <sz val="12"/>
      <color rgb="FF3F3F3F"/>
      <name val="Calibri"/>
      <family val="2"/>
      <scheme val="minor"/>
    </font>
    <font>
      <sz val="12"/>
      <color rgb="FF181818"/>
      <name val="Calibri"/>
      <family val="2"/>
      <scheme val="minor"/>
    </font>
    <font>
      <sz val="12"/>
      <color rgb="FF2F2D2F"/>
      <name val="Calibri"/>
      <family val="2"/>
      <scheme val="minor"/>
    </font>
    <font>
      <sz val="12"/>
      <color rgb="FF2D110A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4" tint="-0.499984740745262"/>
      <name val="Arial Black"/>
      <family val="2"/>
    </font>
    <font>
      <b/>
      <sz val="16"/>
      <color theme="0"/>
      <name val="Calibri"/>
      <family val="2"/>
      <scheme val="minor"/>
    </font>
    <font>
      <b/>
      <sz val="18"/>
      <color theme="4" tint="-0.499984740745262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n">
        <color theme="0" tint="-4.9989318521683403E-2"/>
      </bottom>
      <diagonal/>
    </border>
    <border>
      <left/>
      <right style="thick">
        <color theme="4" tint="-0.49998474074526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ck">
        <color theme="4" tint="-0.499984740745262"/>
      </right>
      <top style="thin">
        <color theme="0" tint="-4.9989318521683403E-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 style="thin">
        <color theme="3" tint="-0.499984740745262"/>
      </top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3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ont="1" applyFill="1" applyBorder="1"/>
    <xf numFmtId="0" fontId="0" fillId="3" borderId="0" xfId="0" applyFont="1" applyFill="1" applyBorder="1"/>
    <xf numFmtId="0" fontId="0" fillId="2" borderId="0" xfId="0" applyFill="1"/>
    <xf numFmtId="165" fontId="0" fillId="2" borderId="1" xfId="0" applyNumberFormat="1" applyFont="1" applyFill="1" applyBorder="1"/>
    <xf numFmtId="165" fontId="2" fillId="2" borderId="2" xfId="0" applyNumberFormat="1" applyFont="1" applyFill="1" applyBorder="1" applyAlignment="1">
      <alignment vertical="top" shrinkToFit="1"/>
    </xf>
    <xf numFmtId="165" fontId="3" fillId="2" borderId="2" xfId="0" applyNumberFormat="1" applyFont="1" applyFill="1" applyBorder="1" applyAlignment="1">
      <alignment vertical="top" shrinkToFit="1"/>
    </xf>
    <xf numFmtId="165" fontId="4" fillId="2" borderId="2" xfId="0" applyNumberFormat="1" applyFont="1" applyFill="1" applyBorder="1" applyAlignment="1">
      <alignment vertical="top" shrinkToFit="1"/>
    </xf>
    <xf numFmtId="165" fontId="5" fillId="2" borderId="2" xfId="0" applyNumberFormat="1" applyFont="1" applyFill="1" applyBorder="1" applyAlignment="1">
      <alignment vertical="top" shrinkToFit="1"/>
    </xf>
    <xf numFmtId="165" fontId="7" fillId="2" borderId="2" xfId="0" applyNumberFormat="1" applyFont="1" applyFill="1" applyBorder="1" applyAlignment="1">
      <alignment vertical="top" shrinkToFit="1"/>
    </xf>
    <xf numFmtId="165" fontId="11" fillId="2" borderId="2" xfId="0" applyNumberFormat="1" applyFont="1" applyFill="1" applyBorder="1" applyAlignment="1">
      <alignment vertical="top" shrinkToFit="1"/>
    </xf>
    <xf numFmtId="165" fontId="2" fillId="2" borderId="3" xfId="0" applyNumberFormat="1" applyFont="1" applyFill="1" applyBorder="1" applyAlignment="1">
      <alignment vertical="top" shrinkToFit="1"/>
    </xf>
    <xf numFmtId="165" fontId="3" fillId="2" borderId="3" xfId="0" applyNumberFormat="1" applyFont="1" applyFill="1" applyBorder="1" applyAlignment="1">
      <alignment vertical="top" shrinkToFit="1"/>
    </xf>
    <xf numFmtId="165" fontId="5" fillId="2" borderId="3" xfId="0" applyNumberFormat="1" applyFont="1" applyFill="1" applyBorder="1" applyAlignment="1">
      <alignment vertical="top" shrinkToFit="1"/>
    </xf>
    <xf numFmtId="165" fontId="8" fillId="2" borderId="2" xfId="0" applyNumberFormat="1" applyFont="1" applyFill="1" applyBorder="1" applyAlignment="1">
      <alignment vertical="top" shrinkToFit="1"/>
    </xf>
    <xf numFmtId="0" fontId="0" fillId="3" borderId="1" xfId="0" applyFont="1" applyFill="1" applyBorder="1"/>
    <xf numFmtId="0" fontId="0" fillId="3" borderId="2" xfId="0" applyFont="1" applyFill="1" applyBorder="1"/>
    <xf numFmtId="0" fontId="0" fillId="2" borderId="0" xfId="0" applyFill="1" applyAlignment="1">
      <alignment wrapText="1"/>
    </xf>
    <xf numFmtId="165" fontId="8" fillId="2" borderId="0" xfId="0" applyNumberFormat="1" applyFont="1" applyFill="1" applyBorder="1" applyAlignment="1">
      <alignment vertical="top" shrinkToFit="1"/>
    </xf>
    <xf numFmtId="165" fontId="5" fillId="2" borderId="0" xfId="0" applyNumberFormat="1" applyFont="1" applyFill="1" applyBorder="1" applyAlignment="1">
      <alignment vertical="top" shrinkToFit="1"/>
    </xf>
    <xf numFmtId="0" fontId="0" fillId="3" borderId="0" xfId="0" applyFont="1" applyFill="1"/>
    <xf numFmtId="0" fontId="17" fillId="2" borderId="0" xfId="0" applyFont="1" applyFill="1"/>
    <xf numFmtId="0" fontId="18" fillId="2" borderId="0" xfId="0" applyFont="1" applyFill="1"/>
    <xf numFmtId="0" fontId="1" fillId="5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165" fontId="2" fillId="2" borderId="4" xfId="0" applyNumberFormat="1" applyFont="1" applyFill="1" applyBorder="1" applyAlignment="1">
      <alignment vertical="top" shrinkToFit="1"/>
    </xf>
    <xf numFmtId="165" fontId="2" fillId="4" borderId="12" xfId="0" applyNumberFormat="1" applyFont="1" applyFill="1" applyBorder="1" applyAlignment="1">
      <alignment vertical="top" shrinkToFit="1"/>
    </xf>
    <xf numFmtId="0" fontId="0" fillId="3" borderId="13" xfId="0" applyFont="1" applyFill="1" applyBorder="1"/>
    <xf numFmtId="0" fontId="16" fillId="5" borderId="0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 wrapText="1"/>
    </xf>
    <xf numFmtId="0" fontId="16" fillId="6" borderId="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/>
    </xf>
    <xf numFmtId="0" fontId="21" fillId="2" borderId="0" xfId="0" applyFont="1" applyFill="1" applyAlignment="1">
      <alignment vertical="center"/>
    </xf>
    <xf numFmtId="165" fontId="4" fillId="2" borderId="4" xfId="0" applyNumberFormat="1" applyFont="1" applyFill="1" applyBorder="1" applyAlignment="1">
      <alignment vertical="top" shrinkToFit="1"/>
    </xf>
    <xf numFmtId="165" fontId="5" fillId="2" borderId="4" xfId="0" applyNumberFormat="1" applyFont="1" applyFill="1" applyBorder="1" applyAlignment="1">
      <alignment vertical="top" shrinkToFit="1"/>
    </xf>
    <xf numFmtId="165" fontId="3" fillId="2" borderId="4" xfId="0" applyNumberFormat="1" applyFont="1" applyFill="1" applyBorder="1" applyAlignment="1">
      <alignment vertical="top" shrinkToFit="1"/>
    </xf>
    <xf numFmtId="0" fontId="0" fillId="3" borderId="4" xfId="0" applyFont="1" applyFill="1" applyBorder="1"/>
    <xf numFmtId="0" fontId="0" fillId="4" borderId="12" xfId="0" applyFont="1" applyFill="1" applyBorder="1"/>
    <xf numFmtId="165" fontId="0" fillId="4" borderId="12" xfId="0" applyNumberFormat="1" applyFont="1" applyFill="1" applyBorder="1"/>
    <xf numFmtId="164" fontId="0" fillId="4" borderId="12" xfId="0" applyNumberFormat="1" applyFont="1" applyFill="1" applyBorder="1"/>
    <xf numFmtId="165" fontId="0" fillId="2" borderId="2" xfId="0" applyNumberFormat="1" applyFont="1" applyFill="1" applyBorder="1"/>
    <xf numFmtId="164" fontId="0" fillId="2" borderId="2" xfId="0" applyNumberFormat="1" applyFont="1" applyFill="1" applyBorder="1"/>
    <xf numFmtId="165" fontId="0" fillId="2" borderId="4" xfId="0" applyNumberFormat="1" applyFont="1" applyFill="1" applyBorder="1"/>
    <xf numFmtId="164" fontId="0" fillId="2" borderId="4" xfId="0" applyNumberFormat="1" applyFont="1" applyFill="1" applyBorder="1"/>
    <xf numFmtId="165" fontId="10" fillId="2" borderId="1" xfId="0" applyNumberFormat="1" applyFont="1" applyFill="1" applyBorder="1" applyAlignment="1">
      <alignment vertical="top" shrinkToFit="1"/>
    </xf>
    <xf numFmtId="165" fontId="8" fillId="2" borderId="1" xfId="0" applyNumberFormat="1" applyFont="1" applyFill="1" applyBorder="1" applyAlignment="1">
      <alignment vertical="top" shrinkToFit="1"/>
    </xf>
    <xf numFmtId="165" fontId="3" fillId="2" borderId="1" xfId="0" applyNumberFormat="1" applyFont="1" applyFill="1" applyBorder="1" applyAlignment="1">
      <alignment vertical="top" shrinkToFit="1"/>
    </xf>
    <xf numFmtId="165" fontId="7" fillId="2" borderId="1" xfId="0" applyNumberFormat="1" applyFont="1" applyFill="1" applyBorder="1" applyAlignment="1">
      <alignment vertical="top" shrinkToFit="1"/>
    </xf>
    <xf numFmtId="165" fontId="6" fillId="2" borderId="1" xfId="0" applyNumberFormat="1" applyFont="1" applyFill="1" applyBorder="1" applyAlignment="1">
      <alignment vertical="top" shrinkToFit="1"/>
    </xf>
    <xf numFmtId="165" fontId="12" fillId="2" borderId="1" xfId="0" applyNumberFormat="1" applyFont="1" applyFill="1" applyBorder="1" applyAlignment="1">
      <alignment vertical="top" shrinkToFit="1"/>
    </xf>
    <xf numFmtId="165" fontId="6" fillId="2" borderId="2" xfId="0" applyNumberFormat="1" applyFont="1" applyFill="1" applyBorder="1" applyAlignment="1">
      <alignment vertical="top" shrinkToFit="1"/>
    </xf>
    <xf numFmtId="165" fontId="13" fillId="2" borderId="2" xfId="0" applyNumberFormat="1" applyFont="1" applyFill="1" applyBorder="1" applyAlignment="1">
      <alignment vertical="top" shrinkToFit="1"/>
    </xf>
    <xf numFmtId="165" fontId="10" fillId="2" borderId="2" xfId="0" applyNumberFormat="1" applyFont="1" applyFill="1" applyBorder="1" applyAlignment="1">
      <alignment vertical="top" shrinkToFit="1"/>
    </xf>
    <xf numFmtId="165" fontId="12" fillId="2" borderId="2" xfId="0" applyNumberFormat="1" applyFont="1" applyFill="1" applyBorder="1" applyAlignment="1">
      <alignment vertical="top" shrinkToFit="1"/>
    </xf>
    <xf numFmtId="165" fontId="14" fillId="2" borderId="4" xfId="0" applyNumberFormat="1" applyFont="1" applyFill="1" applyBorder="1" applyAlignment="1">
      <alignment vertical="top" shrinkToFit="1"/>
    </xf>
    <xf numFmtId="165" fontId="9" fillId="2" borderId="4" xfId="0" applyNumberFormat="1" applyFont="1" applyFill="1" applyBorder="1" applyAlignment="1">
      <alignment vertical="top" wrapText="1"/>
    </xf>
    <xf numFmtId="165" fontId="6" fillId="2" borderId="4" xfId="0" applyNumberFormat="1" applyFont="1" applyFill="1" applyBorder="1" applyAlignment="1">
      <alignment vertical="top" shrinkToFit="1"/>
    </xf>
    <xf numFmtId="165" fontId="13" fillId="2" borderId="4" xfId="0" applyNumberFormat="1" applyFont="1" applyFill="1" applyBorder="1" applyAlignment="1">
      <alignment vertical="top" shrinkToFit="1"/>
    </xf>
    <xf numFmtId="0" fontId="1" fillId="5" borderId="11" xfId="0" applyFont="1" applyFill="1" applyBorder="1" applyAlignment="1">
      <alignment vertical="center"/>
    </xf>
    <xf numFmtId="0" fontId="1" fillId="5" borderId="19" xfId="0" applyFont="1" applyFill="1" applyBorder="1" applyAlignment="1">
      <alignment horizontal="right" vertical="center" wrapText="1"/>
    </xf>
    <xf numFmtId="0" fontId="1" fillId="5" borderId="20" xfId="0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vertical="top" shrinkToFit="1"/>
    </xf>
    <xf numFmtId="0" fontId="0" fillId="3" borderId="0" xfId="0" applyFont="1" applyFill="1" applyBorder="1" applyAlignment="1">
      <alignment vertical="center"/>
    </xf>
    <xf numFmtId="165" fontId="2" fillId="2" borderId="21" xfId="0" applyNumberFormat="1" applyFont="1" applyFill="1" applyBorder="1" applyAlignment="1">
      <alignment vertical="center" shrinkToFit="1"/>
    </xf>
    <xf numFmtId="165" fontId="2" fillId="3" borderId="14" xfId="0" applyNumberFormat="1" applyFont="1" applyFill="1" applyBorder="1" applyAlignment="1">
      <alignment vertical="center" shrinkToFit="1"/>
    </xf>
    <xf numFmtId="165" fontId="2" fillId="2" borderId="2" xfId="0" applyNumberFormat="1" applyFont="1" applyFill="1" applyBorder="1" applyAlignment="1">
      <alignment vertical="center" shrinkToFit="1"/>
    </xf>
    <xf numFmtId="165" fontId="2" fillId="0" borderId="1" xfId="0" applyNumberFormat="1" applyFont="1" applyFill="1" applyBorder="1" applyAlignment="1">
      <alignment vertical="center" shrinkToFit="1"/>
    </xf>
    <xf numFmtId="165" fontId="2" fillId="3" borderId="15" xfId="0" applyNumberFormat="1" applyFont="1" applyFill="1" applyBorder="1" applyAlignment="1">
      <alignment vertical="center" shrinkToFit="1"/>
    </xf>
    <xf numFmtId="165" fontId="7" fillId="2" borderId="2" xfId="0" applyNumberFormat="1" applyFont="1" applyFill="1" applyBorder="1" applyAlignment="1">
      <alignment vertical="center" shrinkToFit="1"/>
    </xf>
    <xf numFmtId="165" fontId="7" fillId="3" borderId="15" xfId="0" applyNumberFormat="1" applyFont="1" applyFill="1" applyBorder="1" applyAlignment="1">
      <alignment vertical="center" shrinkToFit="1"/>
    </xf>
    <xf numFmtId="165" fontId="11" fillId="2" borderId="2" xfId="0" applyNumberFormat="1" applyFont="1" applyFill="1" applyBorder="1" applyAlignment="1">
      <alignment vertical="center" shrinkToFit="1"/>
    </xf>
    <xf numFmtId="165" fontId="11" fillId="3" borderId="15" xfId="0" applyNumberFormat="1" applyFont="1" applyFill="1" applyBorder="1" applyAlignment="1">
      <alignment vertical="center" shrinkToFit="1"/>
    </xf>
    <xf numFmtId="165" fontId="2" fillId="2" borderId="4" xfId="0" applyNumberFormat="1" applyFont="1" applyFill="1" applyBorder="1" applyAlignment="1">
      <alignment vertical="center" shrinkToFit="1"/>
    </xf>
    <xf numFmtId="165" fontId="2" fillId="0" borderId="0" xfId="0" applyNumberFormat="1" applyFont="1" applyFill="1" applyBorder="1" applyAlignment="1">
      <alignment vertical="center" shrinkToFit="1"/>
    </xf>
    <xf numFmtId="165" fontId="2" fillId="3" borderId="16" xfId="0" applyNumberFormat="1" applyFont="1" applyFill="1" applyBorder="1" applyAlignment="1">
      <alignment vertical="center" shrinkToFit="1"/>
    </xf>
    <xf numFmtId="0" fontId="0" fillId="3" borderId="13" xfId="0" applyFont="1" applyFill="1" applyBorder="1" applyAlignment="1">
      <alignment vertical="center"/>
    </xf>
    <xf numFmtId="165" fontId="2" fillId="4" borderId="12" xfId="0" applyNumberFormat="1" applyFont="1" applyFill="1" applyBorder="1" applyAlignment="1">
      <alignment vertical="center" shrinkToFit="1"/>
    </xf>
    <xf numFmtId="165" fontId="2" fillId="3" borderId="12" xfId="0" applyNumberFormat="1" applyFont="1" applyFill="1" applyBorder="1" applyAlignment="1">
      <alignment vertical="center" shrinkToFit="1"/>
    </xf>
    <xf numFmtId="0" fontId="1" fillId="5" borderId="10" xfId="0" applyFont="1" applyFill="1" applyBorder="1" applyAlignment="1">
      <alignment horizontal="right"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1" fillId="5" borderId="11" xfId="0" applyFont="1" applyFill="1" applyBorder="1" applyAlignment="1">
      <alignment horizontal="right" vertical="center"/>
    </xf>
    <xf numFmtId="0" fontId="0" fillId="2" borderId="8" xfId="0" applyFill="1" applyBorder="1" applyAlignment="1" applyProtection="1">
      <alignment vertical="center"/>
      <protection locked="0"/>
    </xf>
    <xf numFmtId="165" fontId="4" fillId="2" borderId="1" xfId="0" applyNumberFormat="1" applyFont="1" applyFill="1" applyBorder="1" applyAlignment="1">
      <alignment vertical="top" shrinkToFit="1"/>
    </xf>
    <xf numFmtId="165" fontId="5" fillId="2" borderId="1" xfId="0" applyNumberFormat="1" applyFont="1" applyFill="1" applyBorder="1" applyAlignment="1">
      <alignment vertical="top" shrinkToFit="1"/>
    </xf>
    <xf numFmtId="165" fontId="7" fillId="2" borderId="0" xfId="0" applyNumberFormat="1" applyFont="1" applyFill="1" applyBorder="1" applyAlignment="1">
      <alignment vertical="top" shrinkToFit="1"/>
    </xf>
    <xf numFmtId="165" fontId="3" fillId="4" borderId="12" xfId="0" applyNumberFormat="1" applyFont="1" applyFill="1" applyBorder="1" applyAlignment="1">
      <alignment vertical="top" shrinkToFit="1"/>
    </xf>
    <xf numFmtId="165" fontId="6" fillId="4" borderId="12" xfId="0" applyNumberFormat="1" applyFont="1" applyFill="1" applyBorder="1" applyAlignment="1">
      <alignment vertical="top" shrinkToFit="1"/>
    </xf>
    <xf numFmtId="165" fontId="5" fillId="4" borderId="12" xfId="0" applyNumberFormat="1" applyFont="1" applyFill="1" applyBorder="1" applyAlignment="1">
      <alignment vertical="top" shrinkToFit="1"/>
    </xf>
    <xf numFmtId="165" fontId="13" fillId="4" borderId="12" xfId="0" applyNumberFormat="1" applyFont="1" applyFill="1" applyBorder="1" applyAlignment="1">
      <alignment vertical="top" shrinkToFit="1"/>
    </xf>
    <xf numFmtId="0" fontId="16" fillId="5" borderId="9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 wrapText="1"/>
    </xf>
    <xf numFmtId="0" fontId="15" fillId="2" borderId="0" xfId="0" applyFont="1" applyFill="1" applyAlignment="1">
      <alignment horizontal="left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F2D2D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1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F2D2D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1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571499</xdr:colOff>
      <xdr:row>1</xdr:row>
      <xdr:rowOff>203200</xdr:rowOff>
    </xdr:from>
    <xdr:to>
      <xdr:col>7</xdr:col>
      <xdr:colOff>469900</xdr:colOff>
      <xdr:row>5</xdr:row>
      <xdr:rowOff>41836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463289-ADDB-9C47-BBBD-FC387945E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5999" y="914400"/>
          <a:ext cx="3797301" cy="8419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DAAF6F-CFC8-4529-806D-28CBCDC375F9}" name="Freshman_Program" displayName="Freshman_Program" ref="K9:U13" totalsRowShown="0" headerRowDxfId="25">
  <autoFilter ref="K9:U13" xr:uid="{84695BD3-0CC0-4336-9A85-5021775E4534}"/>
  <tableColumns count="11">
    <tableColumn id="1" xr3:uid="{1F70C10D-566F-4A13-AEE8-B8369A6626E4}" name="Freshman Program" dataDxfId="24"/>
    <tableColumn id="2" xr3:uid="{0456DF67-C859-407B-9C45-9B2B79C94608}" name="Tuition" dataDxfId="23"/>
    <tableColumn id="3" xr3:uid="{0C0F7A16-D5D2-4C2D-BC12-6F6A3B7AAF8D}" name="Fees"/>
    <tableColumn id="4" xr3:uid="{17FC8A2D-55BB-4E9A-A536-7F69B0B9DBFA}" name="Books"/>
    <tableColumn id="5" xr3:uid="{E33CFE56-2910-4A86-B6F5-455F4AA35260}" name="Kit/Supplies"/>
    <tableColumn id="6" xr3:uid="{9D368C4B-7BBC-49FA-BCCE-B716DFF5ADC8}" name="Room and Board"/>
    <tableColumn id="7" xr3:uid="{7BEFF09F-74AB-41EA-A25A-A42844CD15F0}" name="Personal Expense"/>
    <tableColumn id="8" xr3:uid="{F0000F9E-E486-4670-B802-D3D42F6A26CE}" name="Transportation"/>
    <tableColumn id="9" xr3:uid="{73DCD14F-C1FA-4F8E-8ABA-97EC8361F179}" name="Retreat"/>
    <tableColumn id="10" xr3:uid="{406DD7A7-486E-49CA-AF88-8B14BAA5FD13}" name="Language School"/>
    <tableColumn id="11" xr3:uid="{6E24575F-18DD-4DF2-B07A-7750F51B0040}" name="Medical Travel Insuran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6D8D96-5889-4B07-B8E8-FD7E5CA20539}" name="Board" displayName="Board" ref="K21:L23" totalsRowShown="0" dataDxfId="22">
  <autoFilter ref="K21:L23" xr:uid="{46314548-F8CE-49C7-97A1-828F6A21DE68}"/>
  <tableColumns count="2">
    <tableColumn id="1" xr3:uid="{7C90600F-AA64-445F-A808-3F44405BAF9D}" name="Board Option" dataDxfId="21"/>
    <tableColumn id="2" xr3:uid="{45EE69BD-98A7-4886-903A-C23B0B3B8296}" name="Room and Board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53BD06B-7233-411B-B76B-8F6EE96EA7F7}" name="Residence" displayName="Residence" ref="K26:M28" totalsRowShown="0" dataDxfId="19">
  <autoFilter ref="K26:M28" xr:uid="{95C7153D-4B65-4F20-8DC6-7E46961E4E1F}"/>
  <tableColumns count="3">
    <tableColumn id="1" xr3:uid="{59FDA208-2279-4A51-9F19-0CDAFF16EB66}" name="Residence" dataDxfId="18"/>
    <tableColumn id="2" xr3:uid="{01B871BC-8785-4210-9DA4-EF20FAB6207F}" name="Room and Board" dataDxfId="17"/>
    <tableColumn id="3" xr3:uid="{A6F2AD7A-9838-442F-A2DC-088B846D4BB1}" name="Personal Expense" dataDxfId="1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DC2D095-4DF6-497B-A201-A0E7022DFC4C}" name="Internship" displayName="Internship" ref="K30:U39" totalsRowShown="0" headerRowDxfId="15" dataDxfId="14">
  <autoFilter ref="K30:U39" xr:uid="{6E6E8CBF-16B4-4BA6-A7F1-A7F93A16EEB7}"/>
  <tableColumns count="11">
    <tableColumn id="1" xr3:uid="{0C41E48C-BB46-4787-9C86-20AC77A26B00}" name="Global Internship Location" dataDxfId="13"/>
    <tableColumn id="2" xr3:uid="{550D1AD8-BD19-46DE-AD7B-9A5C65E2A2F8}" name="Tuition" dataDxfId="12"/>
    <tableColumn id="3" xr3:uid="{B3CC781A-E2F9-4BC6-90DD-CAAE82BB6FDD}" name="Fees" dataDxfId="11"/>
    <tableColumn id="4" xr3:uid="{28FF6FF2-EDC4-4C49-8107-66EDA63D99AE}" name="Books" dataDxfId="10"/>
    <tableColumn id="5" xr3:uid="{CF5CA363-6E0D-421F-BEF6-5C95D991739C}" name="Kit/Supplies" dataDxfId="9"/>
    <tableColumn id="6" xr3:uid="{7F1C0915-CE97-4C8E-BF74-7B8E045F1C06}" name="Room and Board" dataDxfId="8"/>
    <tableColumn id="7" xr3:uid="{F95EA961-5A52-4726-A16A-AE01B6EDAF5E}" name="Personal Expense" dataDxfId="7"/>
    <tableColumn id="8" xr3:uid="{97EB31F4-7752-41FA-9B36-D71DC19BABE8}" name="Transportation" dataDxfId="6"/>
    <tableColumn id="9" xr3:uid="{F4E190D2-213A-4561-B58D-FA8E55106683}" name="Language Tutor" dataDxfId="5"/>
    <tableColumn id="10" xr3:uid="{ADE7B7F9-EE0F-47B9-89A9-4BADF198BE41}" name="Setup Costs" dataDxfId="4"/>
    <tableColumn id="11" xr3:uid="{2F750FBF-ED3E-4609-ADEB-03724E7BB44E}" name="Other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B0912BF-F364-4B07-A0F8-ABFDE0D7E313}" name="Sophomore_Program" displayName="Sophomore_Program" ref="K15:U19" totalsRowShown="0" headerRowDxfId="2">
  <autoFilter ref="K15:U19" xr:uid="{7B3F0601-3753-478B-BF03-8967829BCB8E}"/>
  <tableColumns count="11">
    <tableColumn id="1" xr3:uid="{7153EC9E-7674-4956-B59F-6CD802C451EE}" name="Sophomore Program" dataDxfId="1"/>
    <tableColumn id="2" xr3:uid="{9B10D870-BF25-4526-9F3D-FD919139A975}" name="Tuition" dataDxfId="0"/>
    <tableColumn id="3" xr3:uid="{D0505086-F779-4923-A528-0AFD7300C4BD}" name="Fees"/>
    <tableColumn id="4" xr3:uid="{32C4688C-9F04-40AB-A0A1-79C84BFE5767}" name="Books"/>
    <tableColumn id="5" xr3:uid="{77A4E526-9908-4B26-A654-464A5281FC19}" name="Kit/Supplies"/>
    <tableColumn id="6" xr3:uid="{091D87A8-B051-4B65-90F1-6B5CDADC58A0}" name="Room and Board"/>
    <tableColumn id="7" xr3:uid="{8B9B8250-2E50-475E-B869-E345886A3C67}" name="Personal Expense"/>
    <tableColumn id="8" xr3:uid="{144E86AA-8478-4CEC-A6BC-CEEC6DCB50BE}" name="Transportation"/>
    <tableColumn id="9" xr3:uid="{C76E63CD-F0E4-4E6D-A624-144E7FEEFE4D}" name="Retreat"/>
    <tableColumn id="10" xr3:uid="{F86FE4BB-6A61-4390-85CD-D1F7DA25B007}" name="Language School"/>
    <tableColumn id="11" xr3:uid="{0C6FADFE-CB66-41DD-B4A1-8107124C1112}" name="Medical Travel Insura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BBC3B-BEC1-4141-94B1-30A7223833B6}">
  <dimension ref="B1:U39"/>
  <sheetViews>
    <sheetView tabSelected="1" zoomScale="130" zoomScaleNormal="130" workbookViewId="0">
      <selection activeCell="G1" sqref="G1"/>
    </sheetView>
  </sheetViews>
  <sheetFormatPr baseColWidth="10" defaultColWidth="10.83203125" defaultRowHeight="16" x14ac:dyDescent="0.2"/>
  <cols>
    <col min="1" max="1" width="2.5" style="3" customWidth="1"/>
    <col min="2" max="2" width="20.1640625" style="3" customWidth="1"/>
    <col min="3" max="3" width="16.5" style="3" bestFit="1" customWidth="1"/>
    <col min="4" max="4" width="13.33203125" style="3" customWidth="1"/>
    <col min="5" max="5" width="11" style="3" customWidth="1"/>
    <col min="6" max="6" width="13.33203125" style="3" customWidth="1"/>
    <col min="7" max="7" width="13.5" style="3" customWidth="1"/>
    <col min="8" max="8" width="17.83203125" style="3" customWidth="1"/>
    <col min="9" max="9" width="13" style="3" customWidth="1"/>
    <col min="10" max="10" width="11.6640625" style="3" customWidth="1"/>
    <col min="11" max="11" width="29.6640625" style="3" hidden="1" customWidth="1"/>
    <col min="12" max="12" width="16.1640625" style="3" hidden="1" customWidth="1"/>
    <col min="13" max="13" width="17" style="3" hidden="1" customWidth="1"/>
    <col min="14" max="14" width="0" style="3" hidden="1" customWidth="1"/>
    <col min="15" max="15" width="12.33203125" style="3" hidden="1" customWidth="1"/>
    <col min="16" max="16" width="16.1640625" style="3" hidden="1" customWidth="1"/>
    <col min="17" max="17" width="17" style="3" hidden="1" customWidth="1"/>
    <col min="18" max="18" width="14.6640625" style="3" hidden="1" customWidth="1"/>
    <col min="19" max="19" width="15.33203125" style="3" hidden="1" customWidth="1"/>
    <col min="20" max="20" width="16.33203125" style="3" hidden="1" customWidth="1"/>
    <col min="21" max="21" width="23.1640625" style="3" hidden="1" customWidth="1"/>
    <col min="22" max="16384" width="10.83203125" style="3"/>
  </cols>
  <sheetData>
    <row r="1" spans="2:21" ht="56" customHeight="1" thickBot="1" x14ac:dyDescent="0.25">
      <c r="B1" s="24" t="s">
        <v>54</v>
      </c>
    </row>
    <row r="2" spans="2:21" ht="22" customHeight="1" thickTop="1" thickBot="1" x14ac:dyDescent="0.25">
      <c r="B2" s="91" t="s">
        <v>55</v>
      </c>
      <c r="C2" s="92"/>
    </row>
    <row r="3" spans="2:21" ht="19" customHeight="1" thickTop="1" x14ac:dyDescent="0.2">
      <c r="B3" s="79" t="s">
        <v>59</v>
      </c>
      <c r="C3" s="80" t="s">
        <v>45</v>
      </c>
    </row>
    <row r="4" spans="2:21" ht="19" customHeight="1" x14ac:dyDescent="0.2">
      <c r="B4" s="79" t="s">
        <v>60</v>
      </c>
      <c r="C4" s="81" t="s">
        <v>9</v>
      </c>
    </row>
    <row r="5" spans="2:21" ht="19" customHeight="1" x14ac:dyDescent="0.2">
      <c r="B5" s="79" t="s">
        <v>61</v>
      </c>
      <c r="C5" s="81" t="s">
        <v>7</v>
      </c>
    </row>
    <row r="6" spans="2:21" ht="19" customHeight="1" thickBot="1" x14ac:dyDescent="0.25">
      <c r="B6" s="82" t="s">
        <v>62</v>
      </c>
      <c r="C6" s="83" t="s">
        <v>10</v>
      </c>
    </row>
    <row r="7" spans="2:21" ht="19" customHeight="1" thickTop="1" thickBot="1" x14ac:dyDescent="0.25">
      <c r="B7" s="94"/>
      <c r="C7" s="94"/>
      <c r="D7" s="94"/>
    </row>
    <row r="8" spans="2:21" ht="36" customHeight="1" thickTop="1" x14ac:dyDescent="0.2">
      <c r="B8" s="95" t="s">
        <v>42</v>
      </c>
      <c r="C8" s="96"/>
      <c r="D8" s="96"/>
      <c r="E8" s="96"/>
      <c r="F8" s="96"/>
      <c r="G8" s="96"/>
      <c r="H8" s="96"/>
      <c r="I8" s="97"/>
    </row>
    <row r="9" spans="2:21" ht="34" customHeight="1" thickBot="1" x14ac:dyDescent="0.25">
      <c r="B9" s="59"/>
      <c r="C9" s="60" t="s">
        <v>38</v>
      </c>
      <c r="D9" s="60" t="s">
        <v>56</v>
      </c>
      <c r="E9" s="60" t="s">
        <v>57</v>
      </c>
      <c r="F9" s="60" t="s">
        <v>58</v>
      </c>
      <c r="G9" s="60" t="s">
        <v>39</v>
      </c>
      <c r="H9" s="60" t="s">
        <v>40</v>
      </c>
      <c r="I9" s="61" t="s">
        <v>41</v>
      </c>
      <c r="K9" s="2" t="s">
        <v>50</v>
      </c>
      <c r="L9" s="2" t="s">
        <v>0</v>
      </c>
      <c r="M9" s="2" t="s">
        <v>1</v>
      </c>
      <c r="N9" s="2" t="s">
        <v>2</v>
      </c>
      <c r="O9" s="2" t="s">
        <v>3</v>
      </c>
      <c r="P9" s="2" t="s">
        <v>4</v>
      </c>
      <c r="Q9" s="2" t="s">
        <v>5</v>
      </c>
      <c r="R9" s="2" t="s">
        <v>6</v>
      </c>
      <c r="S9" s="2" t="s">
        <v>32</v>
      </c>
      <c r="T9" s="2" t="s">
        <v>33</v>
      </c>
      <c r="U9" s="2" t="s">
        <v>34</v>
      </c>
    </row>
    <row r="10" spans="2:21" ht="19" customHeight="1" thickTop="1" x14ac:dyDescent="0.2">
      <c r="B10" s="63" t="s">
        <v>0</v>
      </c>
      <c r="C10" s="64">
        <f>VLOOKUP(C3,Freshman_Program[],2,FALSE)</f>
        <v>13100</v>
      </c>
      <c r="D10" s="64">
        <f>IF(OR(C3=K12,C3=K13),0,VLOOKUP(C3,Sophomore_Program[],2,FALSE))</f>
        <v>13100</v>
      </c>
      <c r="E10" s="64">
        <f>IF(OR(C3=K12,C3=K13,C3=K11),0,VLOOKUP(C6,Internship[],2,FALSE))</f>
        <v>19650</v>
      </c>
      <c r="F10" s="64">
        <f>IF(OR(C3=K12,C3=K13,C3=K11),0,E10/3+C10/2)</f>
        <v>13100</v>
      </c>
      <c r="G10" s="65">
        <f>SUM(C10:F10)</f>
        <v>58950</v>
      </c>
      <c r="H10" s="65">
        <f>SUM(C10:F10)</f>
        <v>58950</v>
      </c>
      <c r="I10" s="65">
        <f>G10-H10</f>
        <v>0</v>
      </c>
      <c r="K10" s="3" t="s">
        <v>45</v>
      </c>
      <c r="L10" s="6">
        <v>13100</v>
      </c>
      <c r="M10" s="5">
        <v>1500</v>
      </c>
      <c r="N10" s="5">
        <v>400</v>
      </c>
      <c r="O10" s="9">
        <v>100</v>
      </c>
      <c r="P10" s="10">
        <v>8000</v>
      </c>
      <c r="Q10" s="5">
        <v>2088</v>
      </c>
      <c r="R10" s="5">
        <v>2096</v>
      </c>
      <c r="S10" s="5">
        <v>0</v>
      </c>
      <c r="T10" s="5">
        <v>0</v>
      </c>
      <c r="U10" s="11">
        <v>0</v>
      </c>
    </row>
    <row r="11" spans="2:21" ht="19" customHeight="1" x14ac:dyDescent="0.2">
      <c r="B11" s="63" t="s">
        <v>1</v>
      </c>
      <c r="C11" s="66">
        <f>VLOOKUP(C3,Freshman_Program[],3,FALSE)</f>
        <v>1500</v>
      </c>
      <c r="D11" s="66">
        <f>IF(OR(C3=K12,C3=K13),0,VLOOKUP(C3,Sophomore_Program[],3,FALSE))</f>
        <v>1500</v>
      </c>
      <c r="E11" s="66">
        <f>IF(OR(C3=K12,C3=K13,C3=K11),0,VLOOKUP(C6,Internship[],3,FALSE))</f>
        <v>3870</v>
      </c>
      <c r="F11" s="67">
        <f>IF(OR(C3=K12,C3=K13,C3=K11),0,E11/3+C11/2)</f>
        <v>2040</v>
      </c>
      <c r="G11" s="68">
        <f t="shared" ref="G11:G19" si="0">SUM(C11:F11)</f>
        <v>8910</v>
      </c>
      <c r="H11" s="68">
        <f>E11*1.33</f>
        <v>5147.1000000000004</v>
      </c>
      <c r="I11" s="68">
        <f t="shared" ref="I11:I19" si="1">G11-H11</f>
        <v>3762.8999999999996</v>
      </c>
      <c r="K11" s="3" t="s">
        <v>46</v>
      </c>
      <c r="L11" s="6">
        <v>13100</v>
      </c>
      <c r="M11" s="5">
        <v>1500</v>
      </c>
      <c r="N11" s="5">
        <v>400</v>
      </c>
      <c r="O11" s="9">
        <v>100</v>
      </c>
      <c r="P11" s="10">
        <v>8000</v>
      </c>
      <c r="Q11" s="5">
        <v>2088</v>
      </c>
      <c r="R11" s="5">
        <v>2096</v>
      </c>
      <c r="S11" s="5">
        <v>0</v>
      </c>
      <c r="T11" s="5">
        <v>0</v>
      </c>
      <c r="U11" s="11">
        <v>0</v>
      </c>
    </row>
    <row r="12" spans="2:21" ht="19" customHeight="1" x14ac:dyDescent="0.2">
      <c r="B12" s="63" t="s">
        <v>2</v>
      </c>
      <c r="C12" s="66">
        <f>VLOOKUP(C3,Freshman_Program[],4,FALSE)</f>
        <v>400</v>
      </c>
      <c r="D12" s="66">
        <f>IF(OR(C3=K12,C3=K13),0,VLOOKUP(C3,Sophomore_Program[],4,FALSE))</f>
        <v>400</v>
      </c>
      <c r="E12" s="66">
        <f>IF(OR(C3=K12,C3=K13,C3=K11),0,VLOOKUP(C6,Internship[],4,FALSE))</f>
        <v>100</v>
      </c>
      <c r="F12" s="67">
        <f>IF(OR(C3=K12,C3=K13,C3=K11),0,E12/3+C12/2)</f>
        <v>233.33333333333334</v>
      </c>
      <c r="G12" s="68">
        <f t="shared" si="0"/>
        <v>1133.3333333333333</v>
      </c>
      <c r="H12" s="68">
        <v>400</v>
      </c>
      <c r="I12" s="68">
        <f t="shared" si="1"/>
        <v>733.33333333333326</v>
      </c>
      <c r="K12" s="3" t="s">
        <v>47</v>
      </c>
      <c r="L12" s="6">
        <v>13100</v>
      </c>
      <c r="M12" s="6">
        <v>1125</v>
      </c>
      <c r="N12" s="6">
        <v>400</v>
      </c>
      <c r="O12" s="6">
        <v>100</v>
      </c>
      <c r="P12" s="6">
        <v>8000</v>
      </c>
      <c r="Q12" s="6">
        <v>2088</v>
      </c>
      <c r="R12" s="6">
        <v>2881</v>
      </c>
      <c r="S12" s="6">
        <v>300</v>
      </c>
      <c r="T12" s="6">
        <v>360</v>
      </c>
      <c r="U12" s="12">
        <v>0</v>
      </c>
    </row>
    <row r="13" spans="2:21" ht="19" customHeight="1" x14ac:dyDescent="0.2">
      <c r="B13" s="63" t="s">
        <v>3</v>
      </c>
      <c r="C13" s="69">
        <f>VLOOKUP(C3,Freshman_Program[],5,FALSE)</f>
        <v>100</v>
      </c>
      <c r="D13" s="69">
        <f>IF(OR(C3=K12,C3=K13),0,VLOOKUP(C3,Sophomore_Program[],5,FALSE))</f>
        <v>100</v>
      </c>
      <c r="E13" s="69">
        <f>IF(OR(C3=K12,C3=K13,C3=K11),0,VLOOKUP(C6,Internship[],5,FALSE))</f>
        <v>0</v>
      </c>
      <c r="F13" s="67">
        <f>IF(OR(C3=K12,C3=K13,C3=K11),0,E13/3+C13/2)</f>
        <v>50</v>
      </c>
      <c r="G13" s="68">
        <f t="shared" si="0"/>
        <v>250</v>
      </c>
      <c r="H13" s="70">
        <v>100</v>
      </c>
      <c r="I13" s="68">
        <f t="shared" si="1"/>
        <v>150</v>
      </c>
      <c r="K13" s="3" t="s">
        <v>48</v>
      </c>
      <c r="L13" s="6">
        <v>14600</v>
      </c>
      <c r="M13" s="14">
        <v>1075</v>
      </c>
      <c r="N13" s="8">
        <v>400</v>
      </c>
      <c r="O13" s="8">
        <v>100</v>
      </c>
      <c r="P13" s="8">
        <v>9500</v>
      </c>
      <c r="Q13" s="8">
        <v>2610</v>
      </c>
      <c r="R13" s="8">
        <v>3405</v>
      </c>
      <c r="S13" s="8">
        <v>260</v>
      </c>
      <c r="T13" s="8">
        <v>360</v>
      </c>
      <c r="U13" s="13">
        <v>0</v>
      </c>
    </row>
    <row r="14" spans="2:21" ht="19" customHeight="1" x14ac:dyDescent="0.2">
      <c r="B14" s="63" t="s">
        <v>4</v>
      </c>
      <c r="C14" s="71">
        <f>VLOOKUP(C3,Freshman_Program[],6,FALSE)+VLOOKUP(C5,Residence[],2,FALSE)+VLOOKUP(C4,Board[],2,FALSE)</f>
        <v>8000</v>
      </c>
      <c r="D14" s="71">
        <f>IF(OR(C3=K12,C3=K13),0,VLOOKUP(C3,Sophomore_Program[],6,FALSE)+VLOOKUP(C5,Residence[],2,FALSE)+VLOOKUP(C4,Board[],2,FALSE))</f>
        <v>8000</v>
      </c>
      <c r="E14" s="71">
        <f>IF(OR(C3=K12,C3=K13,C3=K11),0,VLOOKUP(C6,Internship[],6,FALSE))</f>
        <v>3380</v>
      </c>
      <c r="F14" s="67">
        <f>IF(OR(C3=K12,C3=K13,C3=K11),0,E14/3+C14/2)</f>
        <v>5126.666666666667</v>
      </c>
      <c r="G14" s="68">
        <f t="shared" si="0"/>
        <v>24506.666666666668</v>
      </c>
      <c r="H14" s="72">
        <f>E14*1.33</f>
        <v>4495.4000000000005</v>
      </c>
      <c r="I14" s="68">
        <f t="shared" si="1"/>
        <v>20011.266666666666</v>
      </c>
      <c r="L14" s="6"/>
      <c r="M14" s="18"/>
      <c r="N14" s="19"/>
      <c r="O14" s="19"/>
      <c r="P14" s="19"/>
      <c r="Q14" s="19"/>
      <c r="R14" s="19"/>
      <c r="S14" s="19"/>
      <c r="T14" s="19"/>
      <c r="U14" s="19"/>
    </row>
    <row r="15" spans="2:21" ht="19" customHeight="1" x14ac:dyDescent="0.2">
      <c r="B15" s="63" t="s">
        <v>66</v>
      </c>
      <c r="C15" s="66">
        <f>VLOOKUP(C3,Freshman_Program[],7,FALSE)+VLOOKUP(C5,Residence[],3,FALSE)</f>
        <v>2088</v>
      </c>
      <c r="D15" s="66">
        <f>IF(OR(C3=K12,C3=K13),0,VLOOKUP(C3,Sophomore_Program[],7,FALSE))</f>
        <v>2088</v>
      </c>
      <c r="E15" s="66">
        <f>IF(OR(C3=K12,C3=K13,C3=K11),0,VLOOKUP(C6,Internship[],7,FALSE))</f>
        <v>1236</v>
      </c>
      <c r="F15" s="67">
        <f>IF(OR(C3=K12,C3=K13,C3=K11),0,E15/3+C15/2)</f>
        <v>1456</v>
      </c>
      <c r="G15" s="68">
        <f t="shared" si="0"/>
        <v>6868</v>
      </c>
      <c r="H15" s="68">
        <f>E15*1.33</f>
        <v>1643.88</v>
      </c>
      <c r="I15" s="68">
        <f t="shared" si="1"/>
        <v>5224.12</v>
      </c>
      <c r="K15" s="2" t="s">
        <v>51</v>
      </c>
      <c r="L15" s="2" t="s">
        <v>0</v>
      </c>
      <c r="M15" s="2" t="s">
        <v>1</v>
      </c>
      <c r="N15" s="2" t="s">
        <v>2</v>
      </c>
      <c r="O15" s="2" t="s">
        <v>3</v>
      </c>
      <c r="P15" s="2" t="s">
        <v>4</v>
      </c>
      <c r="Q15" s="2" t="s">
        <v>5</v>
      </c>
      <c r="R15" s="2" t="s">
        <v>6</v>
      </c>
      <c r="S15" s="2" t="s">
        <v>32</v>
      </c>
      <c r="T15" s="2" t="s">
        <v>33</v>
      </c>
      <c r="U15" s="2" t="s">
        <v>34</v>
      </c>
    </row>
    <row r="16" spans="2:21" ht="19" customHeight="1" x14ac:dyDescent="0.2">
      <c r="B16" s="63" t="s">
        <v>67</v>
      </c>
      <c r="C16" s="66">
        <f>VLOOKUP(C3,Freshman_Program[],8,FALSE)</f>
        <v>2096</v>
      </c>
      <c r="D16" s="66">
        <f>IF(OR(C3=K12,C3=K13),0,VLOOKUP(C3,Sophomore_Program[],8,FALSE))</f>
        <v>2096</v>
      </c>
      <c r="E16" s="66">
        <f>IF(OR(C3=K12,C3=K13,C3=K11),0,VLOOKUP(C6,Internship[],8,FALSE))</f>
        <v>1082</v>
      </c>
      <c r="F16" s="67">
        <f>IF(OR(C3=K12,C3=K13,C3=K11),0,E16/3+C16/2)</f>
        <v>1408.6666666666667</v>
      </c>
      <c r="G16" s="68">
        <f t="shared" si="0"/>
        <v>6682.666666666667</v>
      </c>
      <c r="H16" s="68">
        <f>E16*1.33</f>
        <v>1439.0600000000002</v>
      </c>
      <c r="I16" s="68">
        <f t="shared" si="1"/>
        <v>5243.6066666666666</v>
      </c>
      <c r="K16" s="3" t="s">
        <v>45</v>
      </c>
      <c r="L16" s="6">
        <v>13100</v>
      </c>
      <c r="M16" s="5">
        <v>1500</v>
      </c>
      <c r="N16" s="5">
        <v>400</v>
      </c>
      <c r="O16" s="9">
        <v>100</v>
      </c>
      <c r="P16" s="10">
        <v>8000</v>
      </c>
      <c r="Q16" s="5">
        <v>2088</v>
      </c>
      <c r="R16" s="5">
        <v>2096</v>
      </c>
      <c r="S16" s="5">
        <v>0</v>
      </c>
      <c r="T16" s="5">
        <v>0</v>
      </c>
      <c r="U16" s="11">
        <v>0</v>
      </c>
    </row>
    <row r="17" spans="2:21" ht="19" customHeight="1" x14ac:dyDescent="0.2">
      <c r="B17" s="63" t="s">
        <v>63</v>
      </c>
      <c r="C17" s="66">
        <f>VLOOKUP(C3,Freshman_Program[],9,FALSE)</f>
        <v>0</v>
      </c>
      <c r="D17" s="66">
        <f>IF(OR(C3=K12,C3=K13),0,VLOOKUP(C3,Sophomore_Program[],9,FALSE))</f>
        <v>0</v>
      </c>
      <c r="E17" s="66">
        <f>IF(OR(C3=K12,C3=K13,C3=K11),0,VLOOKUP(C6,Internship[],9,FALSE))</f>
        <v>2280</v>
      </c>
      <c r="F17" s="67">
        <f>IF(OR(C3=K12,C3=K13,C3=K11),0,C17/2)</f>
        <v>0</v>
      </c>
      <c r="G17" s="68">
        <f t="shared" si="0"/>
        <v>2280</v>
      </c>
      <c r="H17" s="68">
        <f>G17</f>
        <v>2280</v>
      </c>
      <c r="I17" s="68">
        <f t="shared" si="1"/>
        <v>0</v>
      </c>
      <c r="K17" s="3" t="s">
        <v>46</v>
      </c>
      <c r="L17" s="6">
        <v>13100</v>
      </c>
      <c r="M17" s="5">
        <v>3556</v>
      </c>
      <c r="N17" s="5">
        <v>400</v>
      </c>
      <c r="O17" s="5">
        <v>100</v>
      </c>
      <c r="P17" s="5">
        <v>7119</v>
      </c>
      <c r="Q17" s="5">
        <v>1921</v>
      </c>
      <c r="R17" s="5">
        <v>3513</v>
      </c>
      <c r="S17" s="5">
        <v>0</v>
      </c>
      <c r="T17" s="5">
        <v>0</v>
      </c>
      <c r="U17" s="11">
        <v>200</v>
      </c>
    </row>
    <row r="18" spans="2:21" ht="19" customHeight="1" x14ac:dyDescent="0.2">
      <c r="B18" s="63" t="s">
        <v>64</v>
      </c>
      <c r="C18" s="66">
        <f>VLOOKUP(C3,Freshman_Program[],10,FALSE)</f>
        <v>0</v>
      </c>
      <c r="D18" s="66">
        <f>IF(OR(C3=K12,C3=K13),0,VLOOKUP(C3,Sophomore_Program[],10,FALSE))</f>
        <v>0</v>
      </c>
      <c r="E18" s="66">
        <f>IF(OR(C3=K12,C3=K13,C3=K11),0,VLOOKUP(C6,Internship[],10,FALSE))</f>
        <v>10527</v>
      </c>
      <c r="F18" s="67">
        <f>IF(OR(C3=K12,C3=K13,C3=K11),0,C18/2)</f>
        <v>0</v>
      </c>
      <c r="G18" s="68">
        <f t="shared" si="0"/>
        <v>10527</v>
      </c>
      <c r="H18" s="68">
        <f>E18</f>
        <v>10527</v>
      </c>
      <c r="I18" s="68">
        <f t="shared" si="1"/>
        <v>0</v>
      </c>
      <c r="K18" s="3" t="s">
        <v>47</v>
      </c>
      <c r="L18" s="6">
        <v>13100</v>
      </c>
      <c r="M18" s="6">
        <v>1125</v>
      </c>
      <c r="N18" s="6">
        <v>400</v>
      </c>
      <c r="O18" s="6">
        <v>100</v>
      </c>
      <c r="P18" s="6">
        <v>8000</v>
      </c>
      <c r="Q18" s="6">
        <v>2088</v>
      </c>
      <c r="R18" s="6">
        <v>2881</v>
      </c>
      <c r="S18" s="6">
        <v>300</v>
      </c>
      <c r="T18" s="6">
        <v>360</v>
      </c>
      <c r="U18" s="12">
        <v>0</v>
      </c>
    </row>
    <row r="19" spans="2:21" ht="19" customHeight="1" x14ac:dyDescent="0.2">
      <c r="B19" s="63" t="s">
        <v>65</v>
      </c>
      <c r="C19" s="73">
        <f>VLOOKUP(C3,Freshman_Program[],11,FALSE)</f>
        <v>0</v>
      </c>
      <c r="D19" s="73">
        <f>IF(OR(C3=K12,C3=K13),0,VLOOKUP(C3,Sophomore_Program[],11,FALSE))</f>
        <v>0</v>
      </c>
      <c r="E19" s="73">
        <f>IF(OR(C3=K12,C3=K13,C3=K11),0,VLOOKUP(C6,Internship[],11,FALSE))</f>
        <v>0</v>
      </c>
      <c r="F19" s="74">
        <f>IF(OR(C3=K12,C3=K13,C3=K11),0,C19/2)</f>
        <v>0</v>
      </c>
      <c r="G19" s="75">
        <f t="shared" si="0"/>
        <v>0</v>
      </c>
      <c r="H19" s="75">
        <v>0</v>
      </c>
      <c r="I19" s="75">
        <f t="shared" si="1"/>
        <v>0</v>
      </c>
      <c r="K19" s="3" t="s">
        <v>48</v>
      </c>
      <c r="L19" s="6">
        <v>14600</v>
      </c>
      <c r="M19" s="14">
        <v>1075</v>
      </c>
      <c r="N19" s="8">
        <v>400</v>
      </c>
      <c r="O19" s="8">
        <v>100</v>
      </c>
      <c r="P19" s="8">
        <v>9500</v>
      </c>
      <c r="Q19" s="8">
        <v>2610</v>
      </c>
      <c r="R19" s="8">
        <v>3405</v>
      </c>
      <c r="S19" s="8">
        <v>260</v>
      </c>
      <c r="T19" s="8">
        <v>360</v>
      </c>
      <c r="U19" s="13">
        <v>0</v>
      </c>
    </row>
    <row r="20" spans="2:21" ht="19" customHeight="1" thickBot="1" x14ac:dyDescent="0.25">
      <c r="B20" s="76" t="s">
        <v>21</v>
      </c>
      <c r="C20" s="77">
        <f>SUM(C10:C19)</f>
        <v>27284</v>
      </c>
      <c r="D20" s="77">
        <f>SUM(D10:D19)</f>
        <v>27284</v>
      </c>
      <c r="E20" s="77">
        <f t="shared" ref="E20:I20" si="2">SUM(E10:E19)</f>
        <v>42125</v>
      </c>
      <c r="F20" s="77">
        <f t="shared" si="2"/>
        <v>23414.666666666668</v>
      </c>
      <c r="G20" s="78">
        <f t="shared" si="2"/>
        <v>120107.66666666667</v>
      </c>
      <c r="H20" s="78">
        <f t="shared" si="2"/>
        <v>84982.44</v>
      </c>
      <c r="I20" s="78">
        <f t="shared" si="2"/>
        <v>35125.226666666669</v>
      </c>
      <c r="L20" s="19"/>
      <c r="M20" s="18"/>
      <c r="N20" s="19"/>
      <c r="O20" s="19"/>
      <c r="P20" s="19"/>
      <c r="Q20" s="19"/>
      <c r="R20" s="19"/>
      <c r="S20" s="19"/>
      <c r="T20" s="19"/>
      <c r="U20" s="19"/>
    </row>
    <row r="21" spans="2:21" x14ac:dyDescent="0.2">
      <c r="K21" s="2" t="s">
        <v>43</v>
      </c>
      <c r="L21" s="2" t="s">
        <v>4</v>
      </c>
    </row>
    <row r="22" spans="2:21" ht="19" x14ac:dyDescent="0.25">
      <c r="B22" s="22" t="s">
        <v>68</v>
      </c>
      <c r="K22" s="3" t="s">
        <v>9</v>
      </c>
      <c r="L22" s="3">
        <v>0</v>
      </c>
    </row>
    <row r="23" spans="2:21" ht="38" customHeight="1" x14ac:dyDescent="0.2">
      <c r="B23" s="93" t="s">
        <v>72</v>
      </c>
      <c r="C23" s="93"/>
      <c r="D23" s="93"/>
      <c r="E23" s="93"/>
      <c r="F23" s="93"/>
      <c r="G23" s="93"/>
      <c r="H23" s="93"/>
      <c r="I23" s="93"/>
      <c r="K23" s="3" t="s">
        <v>52</v>
      </c>
      <c r="L23" s="3">
        <v>1000</v>
      </c>
    </row>
    <row r="24" spans="2:21" ht="37" customHeight="1" x14ac:dyDescent="0.2">
      <c r="B24" s="93" t="s">
        <v>73</v>
      </c>
      <c r="C24" s="93"/>
      <c r="D24" s="93"/>
      <c r="E24" s="93"/>
      <c r="F24" s="93"/>
      <c r="G24" s="93"/>
      <c r="H24" s="93"/>
      <c r="I24" s="93"/>
    </row>
    <row r="25" spans="2:21" ht="38" customHeight="1" x14ac:dyDescent="0.2">
      <c r="B25" s="93" t="s">
        <v>70</v>
      </c>
      <c r="C25" s="93"/>
      <c r="D25" s="93"/>
      <c r="E25" s="93"/>
      <c r="F25" s="93"/>
      <c r="G25" s="93"/>
      <c r="H25" s="93"/>
      <c r="I25" s="93"/>
    </row>
    <row r="26" spans="2:21" ht="54" customHeight="1" x14ac:dyDescent="0.2">
      <c r="B26" s="93" t="s">
        <v>71</v>
      </c>
      <c r="C26" s="93"/>
      <c r="D26" s="93"/>
      <c r="E26" s="93"/>
      <c r="F26" s="93"/>
      <c r="G26" s="93"/>
      <c r="H26" s="93"/>
      <c r="I26" s="93"/>
      <c r="K26" s="2" t="s">
        <v>44</v>
      </c>
      <c r="L26" s="2" t="s">
        <v>4</v>
      </c>
      <c r="M26" s="2" t="s">
        <v>5</v>
      </c>
    </row>
    <row r="27" spans="2:21" ht="35" customHeight="1" x14ac:dyDescent="0.2">
      <c r="B27" s="93" t="s">
        <v>74</v>
      </c>
      <c r="C27" s="93"/>
      <c r="D27" s="93"/>
      <c r="E27" s="93"/>
      <c r="F27" s="93"/>
      <c r="G27" s="93"/>
      <c r="H27" s="93"/>
      <c r="I27" s="93"/>
      <c r="K27" s="3" t="s">
        <v>7</v>
      </c>
      <c r="L27" s="3">
        <v>0</v>
      </c>
      <c r="M27" s="3">
        <v>0</v>
      </c>
    </row>
    <row r="28" spans="2:21" ht="26" customHeight="1" x14ac:dyDescent="0.2">
      <c r="B28" s="32"/>
      <c r="K28" s="3" t="s">
        <v>8</v>
      </c>
      <c r="L28" s="3">
        <v>1173</v>
      </c>
      <c r="M28" s="3">
        <v>1796</v>
      </c>
    </row>
    <row r="29" spans="2:21" ht="15.75" customHeight="1" x14ac:dyDescent="0.2"/>
    <row r="30" spans="2:21" ht="15.75" customHeight="1" x14ac:dyDescent="0.2">
      <c r="K30" s="2" t="s">
        <v>49</v>
      </c>
      <c r="L30" s="2" t="s">
        <v>0</v>
      </c>
      <c r="M30" s="2" t="s">
        <v>1</v>
      </c>
      <c r="N30" s="2" t="s">
        <v>2</v>
      </c>
      <c r="O30" s="2" t="s">
        <v>3</v>
      </c>
      <c r="P30" s="2" t="s">
        <v>4</v>
      </c>
      <c r="Q30" s="2" t="s">
        <v>5</v>
      </c>
      <c r="R30" s="2" t="s">
        <v>6</v>
      </c>
      <c r="S30" s="2" t="s">
        <v>31</v>
      </c>
      <c r="T30" s="2" t="s">
        <v>22</v>
      </c>
      <c r="U30" s="20" t="s">
        <v>53</v>
      </c>
    </row>
    <row r="31" spans="2:21" ht="15.75" customHeight="1" x14ac:dyDescent="0.2">
      <c r="K31" s="3" t="s">
        <v>10</v>
      </c>
      <c r="L31" s="3">
        <v>19650</v>
      </c>
      <c r="M31" s="3">
        <v>3870</v>
      </c>
      <c r="N31" s="3">
        <v>100</v>
      </c>
      <c r="O31" s="3">
        <v>0</v>
      </c>
      <c r="P31" s="3">
        <v>3380</v>
      </c>
      <c r="Q31" s="3">
        <v>1236</v>
      </c>
      <c r="R31" s="3">
        <v>1082</v>
      </c>
      <c r="S31" s="3">
        <v>2280</v>
      </c>
      <c r="T31" s="3">
        <v>10527</v>
      </c>
      <c r="U31" s="3">
        <v>0</v>
      </c>
    </row>
    <row r="32" spans="2:21" x14ac:dyDescent="0.2">
      <c r="K32" s="3" t="s">
        <v>11</v>
      </c>
      <c r="L32" s="3">
        <v>19650</v>
      </c>
      <c r="M32" s="3">
        <v>3870</v>
      </c>
      <c r="N32" s="3">
        <v>100</v>
      </c>
      <c r="O32" s="3">
        <v>0</v>
      </c>
      <c r="P32" s="3">
        <v>6289</v>
      </c>
      <c r="Q32" s="3">
        <v>1236</v>
      </c>
      <c r="R32" s="3">
        <v>637</v>
      </c>
      <c r="S32" s="3">
        <v>0</v>
      </c>
      <c r="T32" s="3">
        <v>11221</v>
      </c>
      <c r="U32" s="3">
        <v>0</v>
      </c>
    </row>
    <row r="33" spans="11:21" x14ac:dyDescent="0.2">
      <c r="K33" s="3" t="s">
        <v>12</v>
      </c>
      <c r="L33" s="3">
        <v>19650</v>
      </c>
      <c r="M33" s="3">
        <v>3870</v>
      </c>
      <c r="N33" s="3">
        <v>100</v>
      </c>
      <c r="O33" s="3">
        <v>0</v>
      </c>
      <c r="P33" s="3">
        <v>9746</v>
      </c>
      <c r="Q33" s="3">
        <v>1236</v>
      </c>
      <c r="R33" s="3">
        <v>865</v>
      </c>
      <c r="S33" s="3">
        <v>0</v>
      </c>
      <c r="T33" s="3">
        <v>9157</v>
      </c>
      <c r="U33" s="3">
        <v>0</v>
      </c>
    </row>
    <row r="34" spans="11:21" x14ac:dyDescent="0.2">
      <c r="K34" s="3" t="s">
        <v>13</v>
      </c>
      <c r="L34" s="3">
        <v>19650</v>
      </c>
      <c r="M34" s="3">
        <v>3870</v>
      </c>
      <c r="N34" s="3">
        <v>100</v>
      </c>
      <c r="O34" s="3">
        <v>0</v>
      </c>
      <c r="P34" s="3">
        <v>5614</v>
      </c>
      <c r="Q34" s="3">
        <v>1236</v>
      </c>
      <c r="R34" s="3">
        <v>318</v>
      </c>
      <c r="S34" s="3">
        <v>240</v>
      </c>
      <c r="T34" s="3">
        <v>9745</v>
      </c>
      <c r="U34" s="3">
        <v>0</v>
      </c>
    </row>
    <row r="35" spans="11:21" x14ac:dyDescent="0.2">
      <c r="K35" s="3" t="s">
        <v>14</v>
      </c>
      <c r="L35" s="3">
        <v>19650</v>
      </c>
      <c r="M35" s="3">
        <v>3870</v>
      </c>
      <c r="N35" s="3">
        <v>100</v>
      </c>
      <c r="O35" s="3">
        <v>0</v>
      </c>
      <c r="P35" s="3">
        <v>6075</v>
      </c>
      <c r="Q35" s="3">
        <v>1236</v>
      </c>
      <c r="R35" s="3">
        <v>742</v>
      </c>
      <c r="S35" s="3">
        <v>0</v>
      </c>
      <c r="T35" s="3">
        <v>8628</v>
      </c>
      <c r="U35" s="3">
        <v>0</v>
      </c>
    </row>
    <row r="36" spans="11:21" x14ac:dyDescent="0.2">
      <c r="K36" s="3" t="s">
        <v>15</v>
      </c>
      <c r="L36" s="3">
        <v>19650</v>
      </c>
      <c r="M36" s="3">
        <v>3870</v>
      </c>
      <c r="N36" s="3">
        <v>100</v>
      </c>
      <c r="O36" s="3">
        <v>0</v>
      </c>
      <c r="P36" s="3">
        <v>8652</v>
      </c>
      <c r="Q36" s="3">
        <v>1236</v>
      </c>
      <c r="R36" s="3">
        <v>1112</v>
      </c>
      <c r="S36" s="3">
        <v>0</v>
      </c>
      <c r="T36" s="3">
        <v>9431</v>
      </c>
      <c r="U36" s="3">
        <v>0</v>
      </c>
    </row>
    <row r="37" spans="11:21" x14ac:dyDescent="0.2">
      <c r="K37" s="3" t="s">
        <v>16</v>
      </c>
      <c r="L37" s="3">
        <v>19650</v>
      </c>
      <c r="M37" s="3">
        <v>3870</v>
      </c>
      <c r="N37" s="3">
        <v>100</v>
      </c>
      <c r="O37" s="3">
        <v>0</v>
      </c>
      <c r="P37" s="3">
        <v>3955</v>
      </c>
      <c r="Q37" s="3">
        <v>1236</v>
      </c>
      <c r="R37" s="3">
        <v>742</v>
      </c>
      <c r="S37" s="3">
        <v>480</v>
      </c>
      <c r="T37" s="3">
        <v>9158</v>
      </c>
      <c r="U37" s="3">
        <v>0</v>
      </c>
    </row>
    <row r="38" spans="11:21" x14ac:dyDescent="0.2">
      <c r="K38" s="3" t="s">
        <v>17</v>
      </c>
      <c r="L38" s="3">
        <v>19650</v>
      </c>
      <c r="M38" s="3">
        <v>3870</v>
      </c>
      <c r="N38" s="3">
        <v>100</v>
      </c>
      <c r="O38" s="3">
        <v>0</v>
      </c>
      <c r="P38" s="3">
        <v>8652</v>
      </c>
      <c r="Q38" s="3">
        <v>1236</v>
      </c>
      <c r="R38" s="3">
        <v>1112</v>
      </c>
      <c r="S38" s="3">
        <v>600</v>
      </c>
      <c r="T38" s="3">
        <v>9431</v>
      </c>
      <c r="U38" s="3">
        <v>0</v>
      </c>
    </row>
    <row r="39" spans="11:21" x14ac:dyDescent="0.2">
      <c r="K39" s="3" t="s">
        <v>18</v>
      </c>
      <c r="L39" s="3">
        <v>19650</v>
      </c>
      <c r="M39" s="3">
        <v>3870</v>
      </c>
      <c r="N39" s="3">
        <v>100</v>
      </c>
      <c r="O39" s="3">
        <v>0</v>
      </c>
      <c r="P39" s="3">
        <v>6365</v>
      </c>
      <c r="Q39" s="3">
        <v>1236</v>
      </c>
      <c r="R39" s="3">
        <v>318</v>
      </c>
      <c r="S39" s="3">
        <v>480</v>
      </c>
      <c r="T39" s="3">
        <v>8948</v>
      </c>
      <c r="U39" s="3">
        <v>0</v>
      </c>
    </row>
  </sheetData>
  <mergeCells count="8">
    <mergeCell ref="B2:C2"/>
    <mergeCell ref="B26:I26"/>
    <mergeCell ref="B27:I27"/>
    <mergeCell ref="B24:I24"/>
    <mergeCell ref="B7:D7"/>
    <mergeCell ref="B8:I8"/>
    <mergeCell ref="B23:I23"/>
    <mergeCell ref="B25:I25"/>
  </mergeCells>
  <dataValidations count="4">
    <dataValidation type="list" allowBlank="1" showInputMessage="1" showErrorMessage="1" sqref="C3" xr:uid="{DB3771D5-8E90-4AF2-BBC8-894D30D5A832}">
      <formula1>$K$10:$K$13</formula1>
    </dataValidation>
    <dataValidation type="list" allowBlank="1" showInputMessage="1" showErrorMessage="1" sqref="C4" xr:uid="{2D6DD25C-DD3B-474D-BC8E-DA3A3C3842B9}">
      <formula1>$K$22:$K$23</formula1>
    </dataValidation>
    <dataValidation type="list" allowBlank="1" showInputMessage="1" showErrorMessage="1" sqref="C5" xr:uid="{3E5D60C4-EA25-4694-919D-69413B11CF01}">
      <formula1>$K$27:$K$28</formula1>
    </dataValidation>
    <dataValidation type="list" allowBlank="1" showInputMessage="1" showErrorMessage="1" sqref="C6" xr:uid="{DF3F9820-F561-4A69-86DC-C398406300E4}">
      <formula1>$K$31:$K$39</formula1>
    </dataValidation>
  </dataValidations>
  <pageMargins left="0.7" right="0.7" top="0.75" bottom="0.75" header="0.3" footer="0.3"/>
  <drawing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69D60-F1A0-B941-95FF-21ED06DA8839}">
  <dimension ref="B1:N29"/>
  <sheetViews>
    <sheetView zoomScale="111" zoomScaleNormal="120" workbookViewId="0">
      <selection activeCell="N6" sqref="N6"/>
    </sheetView>
  </sheetViews>
  <sheetFormatPr baseColWidth="10" defaultColWidth="10.83203125" defaultRowHeight="16" x14ac:dyDescent="0.2"/>
  <cols>
    <col min="1" max="1" width="2.5" style="3" customWidth="1"/>
    <col min="2" max="2" width="21" style="3" customWidth="1"/>
    <col min="3" max="3" width="14.83203125" style="3" customWidth="1"/>
    <col min="4" max="4" width="13.33203125" style="3" customWidth="1"/>
    <col min="5" max="5" width="11" style="3" customWidth="1"/>
    <col min="6" max="6" width="13.33203125" style="3" customWidth="1"/>
    <col min="7" max="7" width="19" style="3" customWidth="1"/>
    <col min="8" max="8" width="12.5" style="3" customWidth="1"/>
    <col min="9" max="9" width="14.83203125" style="3" customWidth="1"/>
    <col min="10" max="10" width="15.5" style="3" customWidth="1"/>
    <col min="11" max="11" width="18" style="3" customWidth="1"/>
    <col min="12" max="12" width="17.1640625" style="3" customWidth="1"/>
    <col min="13" max="13" width="11.6640625" style="3" customWidth="1"/>
    <col min="14" max="14" width="12.5" style="3" customWidth="1"/>
    <col min="15" max="16384" width="10.83203125" style="3"/>
  </cols>
  <sheetData>
    <row r="1" spans="2:14" ht="58" customHeight="1" x14ac:dyDescent="0.2">
      <c r="B1" s="33" t="s">
        <v>28</v>
      </c>
      <c r="C1" s="33"/>
      <c r="D1" s="33"/>
    </row>
    <row r="2" spans="2:14" ht="36" customHeight="1" x14ac:dyDescent="0.2">
      <c r="B2" s="98" t="s">
        <v>25</v>
      </c>
      <c r="C2" s="98"/>
      <c r="D2" s="98"/>
      <c r="E2" s="98"/>
      <c r="F2" s="98"/>
      <c r="G2" s="98"/>
      <c r="H2" s="98"/>
      <c r="I2" s="99" t="s">
        <v>27</v>
      </c>
      <c r="J2" s="99"/>
      <c r="K2" s="99"/>
      <c r="L2" s="99"/>
    </row>
    <row r="3" spans="2:14" ht="41" customHeight="1" x14ac:dyDescent="0.2">
      <c r="B3" s="23"/>
      <c r="C3" s="30" t="s">
        <v>9</v>
      </c>
      <c r="D3" s="30" t="s">
        <v>29</v>
      </c>
      <c r="E3" s="30" t="s">
        <v>8</v>
      </c>
      <c r="F3" s="30" t="s">
        <v>24</v>
      </c>
      <c r="G3" s="30" t="s">
        <v>26</v>
      </c>
      <c r="H3" s="30" t="s">
        <v>20</v>
      </c>
      <c r="I3" s="31"/>
      <c r="J3" s="31" t="s">
        <v>30</v>
      </c>
      <c r="K3" s="31" t="s">
        <v>36</v>
      </c>
      <c r="L3" s="31" t="s">
        <v>37</v>
      </c>
      <c r="N3" s="17"/>
    </row>
    <row r="4" spans="2:14" ht="19" customHeight="1" x14ac:dyDescent="0.2">
      <c r="B4" s="2" t="s">
        <v>0</v>
      </c>
      <c r="C4" s="62">
        <v>13100</v>
      </c>
      <c r="D4" s="84">
        <v>13100</v>
      </c>
      <c r="E4" s="62">
        <v>13100</v>
      </c>
      <c r="F4" s="62">
        <v>13100</v>
      </c>
      <c r="G4" s="85">
        <v>14600</v>
      </c>
      <c r="H4" s="47">
        <v>13100</v>
      </c>
      <c r="I4" s="15" t="s">
        <v>0</v>
      </c>
      <c r="J4" s="4">
        <f t="shared" ref="J4:J12" si="0">AVERAGE(C17:K17)</f>
        <v>19650</v>
      </c>
      <c r="K4" s="4">
        <f>C4/3</f>
        <v>4366.666666666667</v>
      </c>
      <c r="L4" s="4">
        <f>(K4/3)+(D4/3)</f>
        <v>5822.2222222222226</v>
      </c>
    </row>
    <row r="5" spans="2:14" ht="19" customHeight="1" x14ac:dyDescent="0.2">
      <c r="B5" s="2" t="s">
        <v>1</v>
      </c>
      <c r="C5" s="5">
        <v>1500</v>
      </c>
      <c r="D5" s="7">
        <v>1500</v>
      </c>
      <c r="E5" s="5">
        <v>1500</v>
      </c>
      <c r="F5" s="5">
        <v>3556</v>
      </c>
      <c r="G5" s="14">
        <v>1075</v>
      </c>
      <c r="H5" s="6">
        <v>1125</v>
      </c>
      <c r="I5" s="16" t="s">
        <v>1</v>
      </c>
      <c r="J5" s="41">
        <f t="shared" si="0"/>
        <v>3870</v>
      </c>
      <c r="K5" s="41">
        <f t="shared" ref="K5:K13" si="1">C5/3</f>
        <v>500</v>
      </c>
      <c r="L5" s="41">
        <f t="shared" ref="L5:L10" si="2">(K5/3)+(D5/3)</f>
        <v>666.66666666666663</v>
      </c>
    </row>
    <row r="6" spans="2:14" ht="19" customHeight="1" x14ac:dyDescent="0.2">
      <c r="B6" s="2" t="s">
        <v>2</v>
      </c>
      <c r="C6" s="5">
        <v>400</v>
      </c>
      <c r="D6" s="7">
        <v>400</v>
      </c>
      <c r="E6" s="5">
        <v>400</v>
      </c>
      <c r="F6" s="5">
        <v>400</v>
      </c>
      <c r="G6" s="8">
        <v>400</v>
      </c>
      <c r="H6" s="6">
        <v>400</v>
      </c>
      <c r="I6" s="16" t="s">
        <v>2</v>
      </c>
      <c r="J6" s="41">
        <f t="shared" si="0"/>
        <v>100</v>
      </c>
      <c r="K6" s="41">
        <f t="shared" si="1"/>
        <v>133.33333333333334</v>
      </c>
      <c r="L6" s="41">
        <f t="shared" si="2"/>
        <v>177.7777777777778</v>
      </c>
    </row>
    <row r="7" spans="2:14" ht="19" customHeight="1" x14ac:dyDescent="0.2">
      <c r="B7" s="2" t="s">
        <v>3</v>
      </c>
      <c r="C7" s="9">
        <v>100</v>
      </c>
      <c r="D7" s="7">
        <v>100</v>
      </c>
      <c r="E7" s="5">
        <v>100</v>
      </c>
      <c r="F7" s="5">
        <v>100</v>
      </c>
      <c r="G7" s="8">
        <v>100</v>
      </c>
      <c r="H7" s="6">
        <v>100</v>
      </c>
      <c r="I7" s="16" t="s">
        <v>3</v>
      </c>
      <c r="J7" s="41">
        <f t="shared" si="0"/>
        <v>0</v>
      </c>
      <c r="K7" s="41">
        <f t="shared" si="1"/>
        <v>33.333333333333336</v>
      </c>
      <c r="L7" s="41">
        <f t="shared" si="2"/>
        <v>44.44444444444445</v>
      </c>
    </row>
    <row r="8" spans="2:14" ht="19" customHeight="1" x14ac:dyDescent="0.2">
      <c r="B8" s="2" t="s">
        <v>4</v>
      </c>
      <c r="C8" s="10">
        <v>8000</v>
      </c>
      <c r="D8" s="7">
        <v>9000</v>
      </c>
      <c r="E8" s="5">
        <v>9173</v>
      </c>
      <c r="F8" s="5">
        <v>7119</v>
      </c>
      <c r="G8" s="8">
        <v>9500</v>
      </c>
      <c r="H8" s="6">
        <v>8000</v>
      </c>
      <c r="I8" s="16" t="s">
        <v>4</v>
      </c>
      <c r="J8" s="41">
        <f t="shared" si="0"/>
        <v>6525.333333333333</v>
      </c>
      <c r="K8" s="41">
        <f t="shared" si="1"/>
        <v>2666.6666666666665</v>
      </c>
      <c r="L8" s="41">
        <f t="shared" si="2"/>
        <v>3888.8888888888887</v>
      </c>
    </row>
    <row r="9" spans="2:14" ht="19" customHeight="1" x14ac:dyDescent="0.2">
      <c r="B9" s="2" t="s">
        <v>5</v>
      </c>
      <c r="C9" s="5">
        <v>2088</v>
      </c>
      <c r="D9" s="5">
        <v>2088</v>
      </c>
      <c r="E9" s="5">
        <v>3884</v>
      </c>
      <c r="F9" s="5">
        <v>1921</v>
      </c>
      <c r="G9" s="8">
        <v>2610</v>
      </c>
      <c r="H9" s="6">
        <v>2088</v>
      </c>
      <c r="I9" s="16" t="s">
        <v>5</v>
      </c>
      <c r="J9" s="41">
        <f t="shared" si="0"/>
        <v>1236</v>
      </c>
      <c r="K9" s="41">
        <f t="shared" si="1"/>
        <v>696</v>
      </c>
      <c r="L9" s="41">
        <f t="shared" si="2"/>
        <v>928</v>
      </c>
    </row>
    <row r="10" spans="2:14" ht="19" customHeight="1" x14ac:dyDescent="0.2">
      <c r="B10" s="2" t="s">
        <v>6</v>
      </c>
      <c r="C10" s="5">
        <v>2096</v>
      </c>
      <c r="D10" s="7">
        <v>2096</v>
      </c>
      <c r="E10" s="5">
        <v>2096</v>
      </c>
      <c r="F10" s="5">
        <v>3513</v>
      </c>
      <c r="G10" s="8">
        <v>3405</v>
      </c>
      <c r="H10" s="6">
        <v>2881</v>
      </c>
      <c r="I10" s="16" t="s">
        <v>6</v>
      </c>
      <c r="J10" s="41">
        <f t="shared" si="0"/>
        <v>769.77777777777783</v>
      </c>
      <c r="K10" s="41">
        <f t="shared" si="1"/>
        <v>698.66666666666663</v>
      </c>
      <c r="L10" s="41">
        <f t="shared" si="2"/>
        <v>931.55555555555554</v>
      </c>
    </row>
    <row r="11" spans="2:14" ht="19" customHeight="1" x14ac:dyDescent="0.2">
      <c r="B11" s="2" t="s">
        <v>32</v>
      </c>
      <c r="C11" s="5">
        <v>0</v>
      </c>
      <c r="D11" s="7">
        <v>0</v>
      </c>
      <c r="E11" s="5">
        <v>0</v>
      </c>
      <c r="F11" s="5">
        <v>0</v>
      </c>
      <c r="G11" s="8">
        <v>260</v>
      </c>
      <c r="H11" s="6">
        <v>300</v>
      </c>
      <c r="I11" s="16" t="s">
        <v>31</v>
      </c>
      <c r="J11" s="41">
        <f t="shared" si="0"/>
        <v>453.33333333333331</v>
      </c>
      <c r="K11" s="41">
        <f t="shared" si="1"/>
        <v>0</v>
      </c>
      <c r="L11" s="42">
        <v>0</v>
      </c>
    </row>
    <row r="12" spans="2:14" ht="19" customHeight="1" x14ac:dyDescent="0.2">
      <c r="B12" s="2" t="s">
        <v>33</v>
      </c>
      <c r="C12" s="5">
        <v>0</v>
      </c>
      <c r="D12" s="7">
        <v>0</v>
      </c>
      <c r="E12" s="5">
        <v>0</v>
      </c>
      <c r="F12" s="5">
        <v>0</v>
      </c>
      <c r="G12" s="8">
        <v>360</v>
      </c>
      <c r="H12" s="6">
        <v>360</v>
      </c>
      <c r="I12" s="16" t="s">
        <v>22</v>
      </c>
      <c r="J12" s="41">
        <f t="shared" si="0"/>
        <v>9582.8888888888887</v>
      </c>
      <c r="K12" s="41">
        <f t="shared" si="1"/>
        <v>0</v>
      </c>
      <c r="L12" s="42">
        <v>0</v>
      </c>
    </row>
    <row r="13" spans="2:14" ht="19" customHeight="1" x14ac:dyDescent="0.2">
      <c r="B13" s="2" t="s">
        <v>34</v>
      </c>
      <c r="C13" s="25">
        <v>0</v>
      </c>
      <c r="D13" s="34">
        <v>0</v>
      </c>
      <c r="E13" s="25">
        <v>0</v>
      </c>
      <c r="F13" s="25">
        <v>200</v>
      </c>
      <c r="G13" s="35">
        <v>0</v>
      </c>
      <c r="H13" s="36">
        <v>0</v>
      </c>
      <c r="I13" s="37" t="s">
        <v>23</v>
      </c>
      <c r="J13" s="43">
        <v>0</v>
      </c>
      <c r="K13" s="43">
        <f t="shared" si="1"/>
        <v>0</v>
      </c>
      <c r="L13" s="44">
        <v>330</v>
      </c>
    </row>
    <row r="14" spans="2:14" ht="19" customHeight="1" thickBot="1" x14ac:dyDescent="0.25">
      <c r="B14" s="27" t="s">
        <v>21</v>
      </c>
      <c r="C14" s="26">
        <f>SUM(C4:C13)</f>
        <v>27284</v>
      </c>
      <c r="D14" s="26">
        <f t="shared" ref="D14:H14" si="3">SUM(D4:D13)</f>
        <v>28284</v>
      </c>
      <c r="E14" s="26">
        <f t="shared" si="3"/>
        <v>30253</v>
      </c>
      <c r="F14" s="26">
        <f t="shared" si="3"/>
        <v>29909</v>
      </c>
      <c r="G14" s="26">
        <f t="shared" si="3"/>
        <v>32310</v>
      </c>
      <c r="H14" s="26">
        <f t="shared" si="3"/>
        <v>28354</v>
      </c>
      <c r="I14" s="38"/>
      <c r="J14" s="39">
        <f>SUM(J4:J13)</f>
        <v>42187.333333333328</v>
      </c>
      <c r="K14" s="40">
        <f>SUM(K4:K13)</f>
        <v>9094.6666666666661</v>
      </c>
      <c r="L14" s="40">
        <f>SUM(L4:L13)</f>
        <v>12789.555555555555</v>
      </c>
    </row>
    <row r="15" spans="2:14" ht="1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4" ht="43" customHeight="1" x14ac:dyDescent="0.2">
      <c r="B16" s="28" t="s">
        <v>35</v>
      </c>
      <c r="C16" s="29" t="s">
        <v>10</v>
      </c>
      <c r="D16" s="29" t="s">
        <v>11</v>
      </c>
      <c r="E16" s="29" t="s">
        <v>12</v>
      </c>
      <c r="F16" s="29" t="s">
        <v>13</v>
      </c>
      <c r="G16" s="29" t="s">
        <v>14</v>
      </c>
      <c r="H16" s="29" t="s">
        <v>15</v>
      </c>
      <c r="I16" s="29" t="s">
        <v>16</v>
      </c>
      <c r="J16" s="29" t="s">
        <v>17</v>
      </c>
      <c r="K16" s="29" t="s">
        <v>18</v>
      </c>
      <c r="L16" s="29" t="s">
        <v>19</v>
      </c>
    </row>
    <row r="17" spans="2:12" ht="19" customHeight="1" x14ac:dyDescent="0.2">
      <c r="B17" s="2" t="s">
        <v>0</v>
      </c>
      <c r="C17" s="45">
        <v>19650</v>
      </c>
      <c r="D17" s="46">
        <v>19650</v>
      </c>
      <c r="E17" s="47">
        <v>19650</v>
      </c>
      <c r="F17" s="48">
        <v>19650</v>
      </c>
      <c r="G17" s="49">
        <v>19650</v>
      </c>
      <c r="H17" s="50">
        <v>19650</v>
      </c>
      <c r="I17" s="50">
        <v>19650</v>
      </c>
      <c r="J17" s="48">
        <v>19650</v>
      </c>
      <c r="K17" s="48">
        <v>19650</v>
      </c>
      <c r="L17" s="48">
        <f>AVERAGE(C17:K17)</f>
        <v>19650</v>
      </c>
    </row>
    <row r="18" spans="2:12" ht="19" customHeight="1" x14ac:dyDescent="0.2">
      <c r="B18" s="2" t="s">
        <v>1</v>
      </c>
      <c r="C18" s="6">
        <v>3870</v>
      </c>
      <c r="D18" s="6">
        <v>3870</v>
      </c>
      <c r="E18" s="6">
        <v>3870</v>
      </c>
      <c r="F18" s="51">
        <v>3870</v>
      </c>
      <c r="G18" s="51">
        <v>3870</v>
      </c>
      <c r="H18" s="8">
        <v>3870</v>
      </c>
      <c r="I18" s="8">
        <v>3870</v>
      </c>
      <c r="J18" s="52">
        <v>3870</v>
      </c>
      <c r="K18" s="52">
        <v>3870</v>
      </c>
      <c r="L18" s="48">
        <f t="shared" ref="L18:L25" si="4">AVERAGE(C18:K18)</f>
        <v>3870</v>
      </c>
    </row>
    <row r="19" spans="2:12" ht="19" customHeight="1" x14ac:dyDescent="0.2">
      <c r="B19" s="2" t="s">
        <v>2</v>
      </c>
      <c r="C19" s="6">
        <v>100</v>
      </c>
      <c r="D19" s="6">
        <v>100</v>
      </c>
      <c r="E19" s="6">
        <v>100</v>
      </c>
      <c r="F19" s="51">
        <v>100</v>
      </c>
      <c r="G19" s="51">
        <v>100</v>
      </c>
      <c r="H19" s="8">
        <v>100</v>
      </c>
      <c r="I19" s="8">
        <v>100</v>
      </c>
      <c r="J19" s="9">
        <v>100</v>
      </c>
      <c r="K19" s="52">
        <v>100</v>
      </c>
      <c r="L19" s="48">
        <f t="shared" si="4"/>
        <v>100</v>
      </c>
    </row>
    <row r="20" spans="2:12" ht="19" customHeight="1" x14ac:dyDescent="0.2">
      <c r="B20" s="2" t="s">
        <v>3</v>
      </c>
      <c r="C20" s="6">
        <v>0</v>
      </c>
      <c r="D20" s="6">
        <v>0</v>
      </c>
      <c r="E20" s="6">
        <v>0</v>
      </c>
      <c r="F20" s="51">
        <v>0</v>
      </c>
      <c r="G20" s="9">
        <v>0</v>
      </c>
      <c r="H20" s="8">
        <v>0</v>
      </c>
      <c r="I20" s="8">
        <v>0</v>
      </c>
      <c r="J20" s="52">
        <v>0</v>
      </c>
      <c r="K20" s="52">
        <v>0</v>
      </c>
      <c r="L20" s="48">
        <f t="shared" si="4"/>
        <v>0</v>
      </c>
    </row>
    <row r="21" spans="2:12" ht="19" customHeight="1" x14ac:dyDescent="0.2">
      <c r="B21" s="2" t="s">
        <v>4</v>
      </c>
      <c r="C21" s="6">
        <v>3380</v>
      </c>
      <c r="D21" s="6">
        <v>6289</v>
      </c>
      <c r="E21" s="6">
        <v>9746</v>
      </c>
      <c r="F21" s="51">
        <v>5614</v>
      </c>
      <c r="G21" s="51">
        <v>6075</v>
      </c>
      <c r="H21" s="8">
        <v>8652</v>
      </c>
      <c r="I21" s="8">
        <v>3955</v>
      </c>
      <c r="J21" s="52">
        <v>8652</v>
      </c>
      <c r="K21" s="52">
        <v>6365</v>
      </c>
      <c r="L21" s="48">
        <f t="shared" si="4"/>
        <v>6525.333333333333</v>
      </c>
    </row>
    <row r="22" spans="2:12" ht="19" customHeight="1" x14ac:dyDescent="0.2">
      <c r="B22" s="2" t="s">
        <v>5</v>
      </c>
      <c r="C22" s="53">
        <v>1236</v>
      </c>
      <c r="D22" s="6">
        <v>1236</v>
      </c>
      <c r="E22" s="6">
        <v>1236</v>
      </c>
      <c r="F22" s="51">
        <v>1236</v>
      </c>
      <c r="G22" s="51">
        <v>1236</v>
      </c>
      <c r="H22" s="54">
        <v>1236</v>
      </c>
      <c r="I22" s="54">
        <v>1236</v>
      </c>
      <c r="J22" s="52">
        <v>1236</v>
      </c>
      <c r="K22" s="9">
        <v>1236</v>
      </c>
      <c r="L22" s="48">
        <f t="shared" si="4"/>
        <v>1236</v>
      </c>
    </row>
    <row r="23" spans="2:12" ht="19" customHeight="1" x14ac:dyDescent="0.2">
      <c r="B23" s="2" t="s">
        <v>6</v>
      </c>
      <c r="C23" s="6">
        <v>1082</v>
      </c>
      <c r="D23" s="6">
        <v>637</v>
      </c>
      <c r="E23" s="6">
        <v>865</v>
      </c>
      <c r="F23" s="51">
        <v>318</v>
      </c>
      <c r="G23" s="51">
        <v>742</v>
      </c>
      <c r="H23" s="54">
        <v>1112</v>
      </c>
      <c r="I23" s="8">
        <v>742</v>
      </c>
      <c r="J23" s="52">
        <v>1112</v>
      </c>
      <c r="K23" s="52">
        <v>318</v>
      </c>
      <c r="L23" s="48">
        <f t="shared" si="4"/>
        <v>769.77777777777783</v>
      </c>
    </row>
    <row r="24" spans="2:12" ht="19" customHeight="1" x14ac:dyDescent="0.2">
      <c r="B24" s="2" t="s">
        <v>31</v>
      </c>
      <c r="C24" s="6">
        <v>2280</v>
      </c>
      <c r="D24" s="6">
        <v>0</v>
      </c>
      <c r="E24" s="6">
        <v>0</v>
      </c>
      <c r="F24" s="51">
        <v>240</v>
      </c>
      <c r="G24" s="51">
        <v>0</v>
      </c>
      <c r="H24" s="8">
        <v>0</v>
      </c>
      <c r="I24" s="8">
        <v>480</v>
      </c>
      <c r="J24" s="52">
        <v>600</v>
      </c>
      <c r="K24" s="52">
        <v>480</v>
      </c>
      <c r="L24" s="48">
        <f t="shared" si="4"/>
        <v>453.33333333333331</v>
      </c>
    </row>
    <row r="25" spans="2:12" ht="19" customHeight="1" x14ac:dyDescent="0.2">
      <c r="B25" s="2" t="s">
        <v>22</v>
      </c>
      <c r="C25" s="55">
        <v>10527</v>
      </c>
      <c r="D25" s="56">
        <v>11221</v>
      </c>
      <c r="E25" s="56">
        <v>9157</v>
      </c>
      <c r="F25" s="57">
        <v>9745</v>
      </c>
      <c r="G25" s="56">
        <v>8628</v>
      </c>
      <c r="H25" s="56">
        <v>9431</v>
      </c>
      <c r="I25" s="35">
        <v>9158</v>
      </c>
      <c r="J25" s="58">
        <v>9431</v>
      </c>
      <c r="K25" s="58">
        <v>8948</v>
      </c>
      <c r="L25" s="86">
        <f t="shared" si="4"/>
        <v>9582.8888888888887</v>
      </c>
    </row>
    <row r="26" spans="2:12" ht="19" customHeight="1" thickBot="1" x14ac:dyDescent="0.25">
      <c r="B26" s="27" t="s">
        <v>21</v>
      </c>
      <c r="C26" s="87">
        <v>31598</v>
      </c>
      <c r="D26" s="87">
        <v>31782</v>
      </c>
      <c r="E26" s="87">
        <v>35467</v>
      </c>
      <c r="F26" s="88">
        <v>31749</v>
      </c>
      <c r="G26" s="88">
        <v>31673</v>
      </c>
      <c r="H26" s="89">
        <v>34620</v>
      </c>
      <c r="I26" s="89">
        <v>30033</v>
      </c>
      <c r="J26" s="90">
        <v>35220</v>
      </c>
      <c r="K26" s="90">
        <v>32020</v>
      </c>
      <c r="L26" s="90">
        <f>AVERAGE(C26:K26)</f>
        <v>32684.666666666668</v>
      </c>
    </row>
    <row r="27" spans="2:12" ht="19" customHeight="1" x14ac:dyDescent="0.2"/>
    <row r="28" spans="2:12" x14ac:dyDescent="0.2">
      <c r="B28" s="21" t="s">
        <v>68</v>
      </c>
    </row>
    <row r="29" spans="2:12" ht="25" customHeight="1" x14ac:dyDescent="0.2">
      <c r="B29" s="93" t="s">
        <v>69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</row>
  </sheetData>
  <mergeCells count="3">
    <mergeCell ref="B2:H2"/>
    <mergeCell ref="I2:L2"/>
    <mergeCell ref="B29:L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Annual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2019-09-26T18:49:12Z</dcterms:created>
  <dcterms:modified xsi:type="dcterms:W3CDTF">2019-10-11T21:30:06Z</dcterms:modified>
</cp:coreProperties>
</file>